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Historical FY05-25" sheetId="2" state="visible" r:id="rId2"/>
    <sheet xmlns:r="http://schemas.openxmlformats.org/officeDocument/2006/relationships" name="Assumptions" sheetId="3" state="visible" r:id="rId3"/>
    <sheet xmlns:r="http://schemas.openxmlformats.org/officeDocument/2006/relationships" name="Revenue FY26-40" sheetId="4" state="visible" r:id="rId4"/>
    <sheet xmlns:r="http://schemas.openxmlformats.org/officeDocument/2006/relationships" name="Expense FY26-40" sheetId="5" state="visible" r:id="rId5"/>
    <sheet xmlns:r="http://schemas.openxmlformats.org/officeDocument/2006/relationships" name="Surplus-Deficit FY26-40" sheetId="6" state="visible" r:id="rId6"/>
    <sheet xmlns:r="http://schemas.openxmlformats.org/officeDocument/2006/relationships" name="New Growth Scenarios" sheetId="7" state="visible" r:id="rId7"/>
    <sheet xmlns:r="http://schemas.openxmlformats.org/officeDocument/2006/relationships" name="Existing vs New FY26-40" sheetId="8" state="visible" r:id="rId8"/>
    <sheet xmlns:r="http://schemas.openxmlformats.org/officeDocument/2006/relationships" name="Schools by Category" sheetId="9" state="visible" r:id="rId9"/>
    <sheet xmlns:r="http://schemas.openxmlformats.org/officeDocument/2006/relationships" name="Benefits by Category" sheetId="10" state="visible" r:id="rId10"/>
    <sheet xmlns:r="http://schemas.openxmlformats.org/officeDocument/2006/relationships" name="Balance Sheet - Liabilities" sheetId="11" state="visible" r:id="rId11"/>
    <sheet xmlns:r="http://schemas.openxmlformats.org/officeDocument/2006/relationships" name="Base Case Decomposition" sheetId="12" state="visible" r:id="rId12"/>
    <sheet xmlns:r="http://schemas.openxmlformats.org/officeDocument/2006/relationships" name="Override Reliance" sheetId="13" state="visible" r:id="rId13"/>
    <sheet xmlns:r="http://schemas.openxmlformats.org/officeDocument/2006/relationships" name="Driver Forecast FY26-40" sheetId="14" state="visible" r:id="rId14"/>
    <sheet xmlns:r="http://schemas.openxmlformats.org/officeDocument/2006/relationships" name="What Decides FY2040" sheetId="15" state="visible" r:id="rId15"/>
    <sheet xmlns:r="http://schemas.openxmlformats.org/officeDocument/2006/relationships" name="Cost of Growth" sheetId="16" state="visible" r:id="rId16"/>
  </sheets>
  <definedNames/>
  <calcPr calcId="124519" fullCalcOnLoad="1"/>
</workbook>
</file>

<file path=xl/styles.xml><?xml version="1.0" encoding="utf-8"?>
<styleSheet xmlns="http://schemas.openxmlformats.org/spreadsheetml/2006/main">
  <numFmts count="5">
    <numFmt numFmtId="164" formatCode="#,##0;(#,##0)"/>
    <numFmt numFmtId="165" formatCode="0.000%"/>
    <numFmt numFmtId="166" formatCode="0.000"/>
    <numFmt numFmtId="167" formatCode="0.00x"/>
    <numFmt numFmtId="168" formatCode="0.0000%"/>
  </numFmts>
  <fonts count="6">
    <font>
      <name val="Calibri"/>
      <family val="2"/>
      <color theme="1"/>
      <sz val="11"/>
      <scheme val="minor"/>
    </font>
    <font>
      <b val="1"/>
      <color rgb="00FFFFFF"/>
      <sz val="16"/>
    </font>
    <font>
      <i val="1"/>
      <color rgb="00808080"/>
      <sz val="9"/>
    </font>
    <font>
      <b val="1"/>
      <color rgb="001F3A5F"/>
      <sz val="12"/>
    </font>
    <font>
      <b val="1"/>
    </font>
    <font/>
  </fonts>
  <fills count="7">
    <fill>
      <patternFill/>
    </fill>
    <fill>
      <patternFill patternType="gray125"/>
    </fill>
    <fill>
      <patternFill patternType="solid">
        <fgColor rgb="001F3A5F"/>
      </patternFill>
    </fill>
    <fill>
      <patternFill patternType="solid">
        <fgColor rgb="00D9E2F3"/>
      </patternFill>
    </fill>
    <fill>
      <patternFill patternType="solid">
        <fgColor rgb="00E7E6E6"/>
      </patternFill>
    </fill>
    <fill>
      <patternFill patternType="solid">
        <fgColor rgb="00E2EFDA"/>
      </patternFill>
    </fill>
    <fill>
      <patternFill patternType="solid">
        <fgColor rgb="00FFF2CC"/>
      </patternFill>
    </fill>
  </fills>
  <borders count="2">
    <border>
      <left/>
      <right/>
      <top/>
      <bottom/>
      <diagonal/>
    </border>
    <border>
      <bottom style="thin">
        <color rgb="00BFBFBF"/>
      </bottom>
    </border>
  </borders>
  <cellStyleXfs count="1">
    <xf numFmtId="0" fontId="0" fillId="0" borderId="0"/>
  </cellStyleXfs>
  <cellXfs count="33">
    <xf numFmtId="0" fontId="0" fillId="0" borderId="0" pivotButton="0" quotePrefix="0" xfId="0"/>
    <xf numFmtId="0" fontId="1" fillId="2" borderId="0" pivotButton="0" quotePrefix="0" xfId="0"/>
    <xf numFmtId="0" fontId="2" fillId="0" borderId="0" applyAlignment="1" pivotButton="0" quotePrefix="0" xfId="0">
      <alignment vertical="top" wrapText="1"/>
    </xf>
    <xf numFmtId="0" fontId="3" fillId="0" borderId="0" pivotButton="0" quotePrefix="0" xfId="0"/>
    <xf numFmtId="0" fontId="4" fillId="3" borderId="1" pivotButton="0" quotePrefix="0" xfId="0"/>
    <xf numFmtId="0" fontId="4" fillId="3" borderId="1" applyAlignment="1" pivotButton="0" quotePrefix="0" xfId="0">
      <alignment horizontal="center"/>
    </xf>
    <xf numFmtId="0" fontId="5" fillId="4" borderId="0" pivotButton="0" quotePrefix="0" xfId="0"/>
    <xf numFmtId="164" fontId="0" fillId="0" borderId="0" pivotButton="0" quotePrefix="0" xfId="0"/>
    <xf numFmtId="0" fontId="4" fillId="5" borderId="0" pivotButton="0" quotePrefix="0" xfId="0"/>
    <xf numFmtId="0" fontId="5" fillId="0" borderId="0" pivotButton="0" quotePrefix="0" xfId="0"/>
    <xf numFmtId="0" fontId="2" fillId="0" borderId="0" applyAlignment="1" pivotButton="0" quotePrefix="0" xfId="0">
      <alignment wrapText="1"/>
    </xf>
    <xf numFmtId="10" fontId="0" fillId="0" borderId="0" pivotButton="0" quotePrefix="0" xfId="0"/>
    <xf numFmtId="0" fontId="0" fillId="0" borderId="0" applyAlignment="1" pivotButton="0" quotePrefix="0" xfId="0">
      <alignment vertical="top" wrapText="1"/>
    </xf>
    <xf numFmtId="0" fontId="0" fillId="6" borderId="0" pivotButton="0" quotePrefix="0" xfId="0"/>
    <xf numFmtId="0" fontId="2" fillId="0" borderId="0" pivotButton="0" quotePrefix="0" xfId="0"/>
    <xf numFmtId="165" fontId="0" fillId="0" borderId="0" pivotButton="0" quotePrefix="0" xfId="0"/>
    <xf numFmtId="0" fontId="4" fillId="3" borderId="0" pivotButton="0" quotePrefix="0" xfId="0"/>
    <xf numFmtId="165" fontId="0" fillId="6" borderId="0" pivotButton="0" quotePrefix="0" xfId="0"/>
    <xf numFmtId="166" fontId="0" fillId="0" borderId="0" pivotButton="0" quotePrefix="0" xfId="0"/>
    <xf numFmtId="0" fontId="5" fillId="6" borderId="0" pivotButton="0" quotePrefix="0" xfId="0"/>
    <xf numFmtId="164" fontId="0" fillId="6" borderId="0" pivotButton="0" quotePrefix="0" xfId="0"/>
    <xf numFmtId="164" fontId="0" fillId="4" borderId="0" pivotButton="0" quotePrefix="0" xfId="0"/>
    <xf numFmtId="3" fontId="0" fillId="0" borderId="0" pivotButton="0" quotePrefix="0" xfId="0"/>
    <xf numFmtId="167" fontId="0" fillId="0" borderId="0" pivotButton="0" quotePrefix="0" xfId="0"/>
    <xf numFmtId="0" fontId="0" fillId="4" borderId="0" pivotButton="0" quotePrefix="0" xfId="0"/>
    <xf numFmtId="164" fontId="0" fillId="5" borderId="0" pivotButton="0" quotePrefix="0" xfId="0"/>
    <xf numFmtId="3" fontId="0" fillId="4" borderId="0" pivotButton="0" quotePrefix="0" xfId="0"/>
    <xf numFmtId="10" fontId="0" fillId="6" borderId="0" pivotButton="0" quotePrefix="0" xfId="0"/>
    <xf numFmtId="168" fontId="0" fillId="6" borderId="0" pivotButton="0" quotePrefix="0" xfId="0"/>
    <xf numFmtId="166" fontId="0" fillId="6" borderId="0" pivotButton="0" quotePrefix="0" xfId="0"/>
    <xf numFmtId="0" fontId="4" fillId="3" borderId="0" applyAlignment="1" pivotButton="0" quotePrefix="0" xfId="0">
      <alignment wrapText="1"/>
    </xf>
    <xf numFmtId="2" fontId="0" fillId="0" borderId="0" pivotButton="0" quotePrefix="0" xfId="0"/>
    <xf numFmtId="0" fontId="0" fillId="5" borderId="0" pivotButton="0" quotePrefix="0" xfId="0"/>
  </cellXfs>
  <cellStyles count="1">
    <cellStyle name="Normal" xfId="0" builtinId="0" hidden="0"/>
  </cellStyles>
  <dxfs count="1">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4"/>
  <sheetViews>
    <sheetView showGridLines="0" workbookViewId="0">
      <selection activeCell="A1" sqref="A1"/>
    </sheetView>
  </sheetViews>
  <sheetFormatPr baseColWidth="8" defaultRowHeight="15"/>
  <cols>
    <col width="110" customWidth="1" min="1" max="1"/>
  </cols>
  <sheetData>
    <row r="1" ht="30" customHeight="1">
      <c r="A1" s="1" t="inlineStr">
        <is>
          <t>Brookline Fiscal Model — Guide</t>
        </is>
      </c>
    </row>
    <row r="3" ht="48" customHeight="1">
      <c r="A3" s="12" t="inlineStr">
        <is>
          <t>A single, auditable Excel model of Brookline's finances: FY2005-2025 real history, plus the FY2026-2040 forecast this project has built. Built 2026-09-01, alongside the project's Python scripts (scripts/*.py, output/*.csv) that remain the primary, most-frequently-updated source - this workbook is generated FROM those scripts (scripts/build_excel_model.py) and re-validated against their output every time it's rebuilt, not maintained by hand.</t>
        </is>
      </c>
    </row>
    <row r="5">
      <c r="A5" s="3" t="inlineStr">
        <is>
          <t>The base case (since 2026-09-29): the Driver Forecast tab</t>
        </is>
      </c>
    </row>
    <row r="6" ht="96" customHeight="1">
      <c r="A6" s="12" t="inlineStr">
        <is>
          <t>The forecast this project now leads with is the driver forecast (tab 'Driver Forecast FY26-40'): it starts from the FY2027 budget Town Meeting adopted in May 2026 and moves each line with its drivers (staff, pay, prices, health premiums, enrollment, homes and square feet), continuing Brookline's FY2011-25 record. With the May 2026 override, revenue stays about $10M to $23M a year ahead of spending through the 2030s. 'What Decides FY2040' ranks the assumptions that move it most (pay, health premiums, school staffing, the FY2031 pension turn), and 'Cost of Growth' holds the shared per-home and per-student costs with a live breakeven table. The Revenue, Expense and Surplus-Deficit tabs are the earlier trend method, kept live as a cross-check; they also carry the local receipts and free cash cycle (receipts budgeted at 74% of collections, each year's surplus returning as free cash two budgets later) as cited values.</t>
        </is>
      </c>
    </row>
    <row r="8">
      <c r="A8" s="3" t="inlineStr">
        <is>
          <t>Color key</t>
        </is>
      </c>
    </row>
    <row r="9">
      <c r="A9" s="13" t="inlineStr">
        <is>
          <t>Tan = editable input - a real number typed in from a source document (the Town's LRFP, an override amount, a category share). Change one and everything downstream recalculates.</t>
        </is>
      </c>
    </row>
    <row r="10">
      <c r="A10" s="32" t="inlineStr">
        <is>
          <t>Green = key output - the headline number for that block (a total, a levy, a gap).</t>
        </is>
      </c>
    </row>
    <row r="11">
      <c r="A11" s="24" t="inlineStr">
        <is>
          <t>Grey = cited/computed value - pulled from the already-validated Python model, not re-derived in Excel. See 'Why some things are cited, not live' below.</t>
        </is>
      </c>
    </row>
    <row r="12">
      <c r="A12" t="inlineStr">
        <is>
          <t>White = an intermediate live formula - not an input, not the headline number, but part of the chain between them.</t>
        </is>
      </c>
    </row>
    <row r="14">
      <c r="A14" s="3" t="inlineStr">
        <is>
          <t>What's LIVE vs. cited — and why</t>
        </is>
      </c>
    </row>
    <row r="15" ht="64" customHeight="1">
      <c r="A15" s="12" t="inlineStr">
        <is>
          <t>Ben chose (2026-09-01) a 'hybrid' depth over two alternatives: a full live rebuild (every mechanic reformulated in Excel - maximally auditable, but two parallel implementations of the same model to keep in sync forever), or a values-only data book (safest against drift, fastest to build, but nothing to actually tweak). The hybrid: every CORE Prop 2.5 mechanic is live - the levy recursion (2.5% + new growth), the debt-exclusion carve-out, the May 2026 override's compounding, the existing-vs-new cohort split, the 5-category new-growth mix Phase 2 stress-tests. Genuinely bespoke SUB-MODELS - ones with their own multi-step derivation this project built and validated separately - are pulled in as cited values instead of re-derived a second time:</t>
        </is>
      </c>
    </row>
    <row r="16" ht="45" customHeight="1">
      <c r="A16" s="12" t="inlineStr">
        <is>
          <t xml:space="preserve">  • Local Receipts (trend_corrected &amp; all 4 New Growth scenarios) - a blend of an ex-meals-ex-permits CAGR, meals tax (organic + new-commercial-sqft-driven), and building permits (% of new-growth value). See new_growth_scenarios_fy26_40_methodology.md.</t>
        </is>
      </c>
    </row>
    <row r="17" ht="45" customHeight="1">
      <c r="A17" s="12" t="inlineStr">
        <is>
          <t xml:space="preserve">  • Implied new residential units / commercial sqft - depends on the tax-rate-drift model (res_tax_rate/com_tax_rate, held at a constant CIP-shift ratio) to translate $ into a physical count. Shown as reference numbers on the New Growth Scenarios tab's own methodology, not re-built here.</t>
        </is>
      </c>
    </row>
    <row r="18" ht="75" customHeight="1">
      <c r="A18" s="12" t="inlineStr">
        <is>
          <t xml:space="preserve">  • Expense tab's trend_corrected Schools row - the sum of 9 DESE function categories (Teachers, Pupil Services, Guidance, etc.), each grown at its own 16-year trailing CAGR from real per-pupil DESE data. See the Schools by Category tab and schools_category_forecast_fy26_40_methodology.md - a real multi-source reconciliation (Schedule A vs. DESE Net School Spending scope) sits behind this one, not just re-derivable from a formula.</t>
        </is>
      </c>
    </row>
    <row r="19" ht="75" customHeight="1">
      <c r="A19" s="12" t="inlineStr">
        <is>
          <t xml:space="preserve">  • Expense tab's trend_corrected Benefits row - Pensions, Group Health, OPEB, and Other each modeled separately (the real 2024 pension ADC schedule, a 25-year Group Health reconstruction from Financial Plan rate-change tables, the real FY2031 pension→OPEB funding handoff) instead of one blended CAGR that was implicitly compounding a one-time OPEB redirect forever. See the Benefits by Category tab and benefits_category_forecast_fy26_40_methodology.md.</t>
        </is>
      </c>
    </row>
    <row r="20" ht="75" customHeight="1">
      <c r="A20" s="12" t="inlineStr">
        <is>
          <t xml:space="preserve">  • Expense tab's trend_corrected Departmental row - Schedule A's 5 functional categories (General Government, Public Safety, Public Works, Human Services, Culture &amp; Recreation), each own-trended. Simpler than Schools/Benefits (no new data sourcing, no outlier rates), but still a real reconciliation of the Town's own known FY26-31 aggregate by category share. See departmental_category_forecast_fy26_40_methodology.md.</t>
        </is>
      </c>
    </row>
    <row r="22">
      <c r="A22" s="3" t="inlineStr">
        <is>
          <t>How to know it's right</t>
        </is>
      </c>
    </row>
    <row r="23" ht="64" customHeight="1">
      <c r="A23" s="12" t="inlineStr">
        <is>
          <t>Every LIVE tab has its own 'Check vs. Python model' row (conditionally formatted red if any year's gap exceeds $6) - it recalculates every time you open the file or change an input, comparing this workbook's own formulas against the already-published, already-reviewed CSV output (output/*.csv) those Python scripts produced. If you change an assumption, that row will stop reading ~$0 for that scenario - expected, since you've deliberately diverged from the base case. If a Check row ever reads a large red number WITHOUT you having changed anything, something broke - stop and investigate before trusting the tab.</t>
        </is>
      </c>
    </row>
    <row r="24" ht="48" customHeight="1">
      <c r="A24" s="12" t="inlineStr">
        <is>
          <t>Before this file was delivered, every one of these Check rows was independently re-verified using a real formula-evaluation engine (not just eyeballed), every live tab, 4 scenarios each where applicable, zero mismatches beyond ~$2-3 of ordinary floating-point accumulation over 14 years of recursive compounding (Python rounds to the dollar every year; this workbook doesn't, since rounding intermediate steps would make later years silently drift from Python for no good reason).</t>
        </is>
      </c>
    </row>
    <row r="26">
      <c r="A26" s="3" t="inlineStr">
        <is>
          <t>Tab guide</t>
        </is>
      </c>
    </row>
    <row r="27" ht="15" customHeight="1">
      <c r="A27" s="12" t="inlineStr">
        <is>
          <t>1. Historical FY05-25 — real actuals, FY2005-2025, plus a live existing-vs-new cohort split.</t>
        </is>
      </c>
    </row>
    <row r="28" ht="15" customHeight="1">
      <c r="A28" s="12" t="inlineStr">
        <is>
          <t>2. Assumptions — every rate/parameter the forecast consumes. The main place to experiment.</t>
        </is>
      </c>
    </row>
    <row r="29" ht="15" customHeight="1">
      <c r="A29" s="12" t="inlineStr">
        <is>
          <t>3. Revenue FY26-40 — Phase 1: property tax, state aid, local receipts, two scenarios.</t>
        </is>
      </c>
    </row>
    <row r="30" ht="15" customHeight="1">
      <c r="A30" s="12" t="inlineStr">
        <is>
          <t>4. Expense FY26-40 — Phase 3: departmental, schools, benefits, debt service, two scenarios.</t>
        </is>
      </c>
    </row>
    <row r="31" ht="15" customHeight="1">
      <c r="A31" s="12" t="inlineStr">
        <is>
          <t>5. Surplus-Deficit FY26-40 — Phase 5/3a: Revenue minus Expense, the baseline gap.</t>
        </is>
      </c>
    </row>
    <row r="32" ht="30" customHeight="1">
      <c r="A32" s="12" t="inlineStr">
        <is>
          <t>6. New Growth Scenarios — Phase 2: 4 new-growth policy scenarios (trend continues vs. 3 ways to hit the 80th-percentile peer rate), the main assumption-stress-test surface.</t>
        </is>
      </c>
    </row>
    <row r="33" ht="15" customHeight="1">
      <c r="A33" s="12" t="inlineStr">
        <is>
          <t>7. Existing vs New FY26-40 — what each new-growth scenario buys existing (pre-2005) property owners.</t>
        </is>
      </c>
    </row>
    <row r="34" ht="45" customHeight="1">
      <c r="A34" s="12" t="inlineStr">
        <is>
          <t>8. Schools by Category — the schools budget disaggregated into 9-10 DESE function categories (Teachers, Pupil Services, Guidance, etc.), FY2009-2040 actual + forecast. Cited data, not live formulas - the FY2026-2040 total feeds directly into the Expense tab's trend_corrected Schools row.</t>
        </is>
      </c>
    </row>
    <row r="35" ht="45" customHeight="1">
      <c r="A35" s="12" t="inlineStr">
        <is>
          <t>9. Benefits by Category — Pensions, Group Health, OPEB, and Other, FY2023-2040 actual + forecast, including the real FY2031 pension→OPEB funding handoff. Cited data, not live formulas - the FY2026-2040 total feeds directly into the Expense tab's trend_corrected Benefits row.</t>
        </is>
      </c>
    </row>
    <row r="36" ht="60" customHeight="1">
      <c r="A36" s="12" t="inlineStr">
        <is>
          <t>10. Balance Sheet - Liabilities — a different kind of model (the Town's BALANCE sheet, not its annual budget): Long-term Debt, Net Pension Liability, Net OPEB Liability, and smaller liabilities, FY2025-2040, ties out exactly to the FY2024 audited Statement of Net Position. Standalone - doesn't feed any other tab. OPEB is deliberately held flat as a labeled placeholder, not a real projection.</t>
        </is>
      </c>
    </row>
    <row r="37" ht="45" customHeight="1">
      <c r="A37" s="12" t="inlineStr">
        <is>
          <t>11. Base Case Decomposition — on the earlier trend method, separates what the May 2026 override is doing from the Town's automatic revenue. Kept for the record: the documents now look forward only, with the override included, and size the levers against the room in the Driver Forecast tab.</t>
        </is>
      </c>
    </row>
    <row r="38" ht="60" customHeight="1">
      <c r="A38" s="12" t="inlineStr">
        <is>
          <t>12. Override Reliance — the opposite question, on the DOWNSIDE case (town_assumptions): what closing the gap with nothing but overrides would take. Fully live - the base gap reads off the Surplus-Deficit tab and each hypothetical override is SIZED BY FORMULA at whatever reaches breakeven, then compounds at 2.5% like every real one. A hypothetical, not a proposal.</t>
        </is>
      </c>
    </row>
    <row r="39" ht="45" customHeight="1">
      <c r="A39" s="12" t="inlineStr">
        <is>
          <t>13. Driver Forecast FY26-40 — the base case (see above). Opens with the base-case assumptions (pay, inflation, premiums, staffing, enrollment, growth). Lines cited from expense_driver_forecast.py; spending total and room are live and checked.</t>
        </is>
      </c>
    </row>
    <row r="40" ht="30" customHeight="1">
      <c r="A40" s="12" t="inlineStr">
        <is>
          <t>14. What Decides FY2040 — one assumption at a time, its effect on FY2040 spending and room. Each row names the base value it departs from.</t>
        </is>
      </c>
    </row>
    <row r="41" ht="30" customHeight="1">
      <c r="A41" s="12" t="inlineStr">
        <is>
          <t>15. Cost of Growth — shared per-home and per-student costs, with a live table of when a new home covers its costs. Change an input (tan) and the breakeven recalculates.</t>
        </is>
      </c>
    </row>
    <row r="43">
      <c r="A43" s="3" t="inlineStr">
        <is>
          <t>Where this comes from</t>
        </is>
      </c>
    </row>
    <row r="44" ht="48" customHeight="1">
      <c r="A44" s="12" t="inlineStr">
        <is>
          <t>This project's full narrative and methodology live in README.md and docs/reference_document.md (and its published web version, docs/part2_web.html) in the brookline-finances repo - this workbook is the audit companion to that writing, not a replacement for it. Every input here traces to a cited primary source (the Town's FY27-31 Long-Range Financial Plan, DOR/DLS Schedule A data, the Town's own Tax Classification Hearing presentations, Ben's own override research) - see each tab's own notes and data/SOURCES.md for the full catalog.</t>
        </is>
      </c>
    </row>
  </sheetData>
  <mergeCells count="1">
    <mergeCell ref="A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40"/>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42"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s>
  <sheetData>
    <row r="1" ht="26" customHeight="1">
      <c r="A1" s="1" t="inlineStr">
        <is>
          <t>Historical Actuals, FY2005-2025</t>
        </is>
      </c>
    </row>
    <row r="2"/>
    <row r="3" ht="42" customHeight="1">
      <c r="A3" s="2" t="inlineStr">
        <is>
          <t>Source: MA DLS Schedule A, DOR Recap Sheet data, and the Town's own audited financials - output/brookline_historical_financials_fy05_25.csv. Every cell on this tab is real, reported history, not a projection - shown as values, with the one exception of the Existing-vs-New cohort split at the bottom, which IS a live formula (it's a real analytical model applied to real historical inputs, not a forecast).</t>
        </is>
      </c>
    </row>
    <row r="4"/>
    <row r="5">
      <c r="A5" s="3" t="inlineStr">
        <is>
          <t>Property Tax Levy Mechanics (Prop 2½)</t>
        </is>
      </c>
    </row>
    <row r="6">
      <c r="A6" s="4" t="inlineStr">
        <is>
          <t>Line item</t>
        </is>
      </c>
      <c r="C6" s="5" t="inlineStr">
        <is>
          <t>FY2005</t>
        </is>
      </c>
      <c r="D6" s="5" t="inlineStr">
        <is>
          <t>FY2006</t>
        </is>
      </c>
      <c r="E6" s="5" t="inlineStr">
        <is>
          <t>FY2007</t>
        </is>
      </c>
      <c r="F6" s="5" t="inlineStr">
        <is>
          <t>FY2008</t>
        </is>
      </c>
      <c r="G6" s="5" t="inlineStr">
        <is>
          <t>FY2009</t>
        </is>
      </c>
      <c r="H6" s="5" t="inlineStr">
        <is>
          <t>FY2010</t>
        </is>
      </c>
      <c r="I6" s="5" t="inlineStr">
        <is>
          <t>FY2011</t>
        </is>
      </c>
      <c r="J6" s="5" t="inlineStr">
        <is>
          <t>FY2012</t>
        </is>
      </c>
      <c r="K6" s="5" t="inlineStr">
        <is>
          <t>FY2013</t>
        </is>
      </c>
      <c r="L6" s="5" t="inlineStr">
        <is>
          <t>FY2014</t>
        </is>
      </c>
      <c r="M6" s="5" t="inlineStr">
        <is>
          <t>FY2015</t>
        </is>
      </c>
      <c r="N6" s="5" t="inlineStr">
        <is>
          <t>FY2016</t>
        </is>
      </c>
      <c r="O6" s="5" t="inlineStr">
        <is>
          <t>FY2017</t>
        </is>
      </c>
      <c r="P6" s="5" t="inlineStr">
        <is>
          <t>FY2018</t>
        </is>
      </c>
      <c r="Q6" s="5" t="inlineStr">
        <is>
          <t>FY2019</t>
        </is>
      </c>
      <c r="R6" s="5" t="inlineStr">
        <is>
          <t>FY2020</t>
        </is>
      </c>
      <c r="S6" s="5" t="inlineStr">
        <is>
          <t>FY2021</t>
        </is>
      </c>
      <c r="T6" s="5" t="inlineStr">
        <is>
          <t>FY2022</t>
        </is>
      </c>
      <c r="U6" s="5" t="inlineStr">
        <is>
          <t>FY2023</t>
        </is>
      </c>
      <c r="V6" s="5" t="inlineStr">
        <is>
          <t>FY2024</t>
        </is>
      </c>
      <c r="W6" s="5" t="inlineStr">
        <is>
          <t>FY2025</t>
        </is>
      </c>
    </row>
    <row r="7">
      <c r="A7" s="6" t="inlineStr">
        <is>
          <t>Prior year levy limit</t>
        </is>
      </c>
      <c r="C7" s="7" t="n">
        <v>112976154</v>
      </c>
      <c r="D7" s="7" t="n">
        <v>118188364</v>
      </c>
      <c r="E7" s="7" t="n">
        <v>123389202</v>
      </c>
      <c r="F7" s="7" t="n">
        <v>128463616</v>
      </c>
      <c r="G7" s="7" t="n">
        <v>134259886</v>
      </c>
      <c r="H7" s="7" t="n">
        <v>145644644</v>
      </c>
      <c r="I7" s="7" t="n">
        <v>151047972</v>
      </c>
      <c r="J7" s="7" t="n">
        <v>156653255</v>
      </c>
      <c r="K7" s="7" t="n">
        <v>162553810</v>
      </c>
      <c r="L7" s="7" t="n">
        <v>168537757</v>
      </c>
      <c r="M7" s="7" t="n">
        <v>174686609</v>
      </c>
      <c r="N7" s="7" t="n">
        <v>181154340</v>
      </c>
      <c r="O7" s="7" t="n">
        <v>195438924</v>
      </c>
      <c r="P7" s="7" t="n">
        <v>203036517</v>
      </c>
      <c r="Q7" s="7" t="n">
        <v>210376535</v>
      </c>
      <c r="R7" s="7" t="n">
        <v>224812701</v>
      </c>
      <c r="S7" s="7" t="n">
        <v>233198737</v>
      </c>
      <c r="T7" s="7" t="n">
        <v>242349097</v>
      </c>
      <c r="U7" s="7" t="n">
        <v>251866661</v>
      </c>
      <c r="V7" s="7" t="n">
        <v>260823641</v>
      </c>
      <c r="W7" s="7" t="n">
        <v>282862062</v>
      </c>
    </row>
    <row r="8">
      <c r="A8" s="6" t="inlineStr">
        <is>
          <t>2.5% statutory increase</t>
        </is>
      </c>
      <c r="C8" s="7" t="n">
        <v>2824404</v>
      </c>
      <c r="D8" s="7" t="n">
        <v>2954709</v>
      </c>
      <c r="E8" s="7" t="n">
        <v>3084730</v>
      </c>
      <c r="F8" s="7" t="n">
        <v>3211590</v>
      </c>
      <c r="G8" s="7" t="n">
        <v>3356497</v>
      </c>
      <c r="H8" s="7" t="n">
        <v>3641116</v>
      </c>
      <c r="I8" s="7" t="n">
        <v>3776199</v>
      </c>
      <c r="J8" s="7" t="n">
        <v>3916331</v>
      </c>
      <c r="K8" s="7" t="n">
        <v>4063845</v>
      </c>
      <c r="L8" s="7" t="n">
        <v>4213444</v>
      </c>
      <c r="M8" s="7" t="n">
        <v>4367165</v>
      </c>
      <c r="N8" s="7" t="n">
        <v>4528858</v>
      </c>
      <c r="O8" s="7" t="n">
        <v>4885973</v>
      </c>
      <c r="P8" s="7" t="n">
        <v>5075913</v>
      </c>
      <c r="Q8" s="7" t="n">
        <v>5259413</v>
      </c>
      <c r="R8" s="7" t="n">
        <v>5620318</v>
      </c>
      <c r="S8" s="7" t="n">
        <v>5829968</v>
      </c>
      <c r="T8" s="7" t="n">
        <v>6058727</v>
      </c>
      <c r="U8" s="7" t="n">
        <v>6296667</v>
      </c>
      <c r="V8" s="7" t="n">
        <v>6520591</v>
      </c>
      <c r="W8" s="7" t="n">
        <v>7071552</v>
      </c>
    </row>
    <row r="9">
      <c r="A9" s="6" t="inlineStr">
        <is>
          <t>New growth ($)</t>
        </is>
      </c>
      <c r="C9" s="7" t="n">
        <v>2386251</v>
      </c>
      <c r="D9" s="7" t="n">
        <v>2232945</v>
      </c>
      <c r="E9" s="7" t="n">
        <v>1989683</v>
      </c>
      <c r="F9" s="7" t="n">
        <v>2584680</v>
      </c>
      <c r="G9" s="7" t="n">
        <v>1828261</v>
      </c>
      <c r="H9" s="7" t="n">
        <v>1762212</v>
      </c>
      <c r="I9" s="7" t="n">
        <v>1829084</v>
      </c>
      <c r="J9" s="7" t="n">
        <v>1984224</v>
      </c>
      <c r="K9" s="7" t="n">
        <v>1920101</v>
      </c>
      <c r="L9" s="7" t="n">
        <v>1935408</v>
      </c>
      <c r="M9" s="7" t="n">
        <v>2100566</v>
      </c>
      <c r="N9" s="7" t="n">
        <v>2090726</v>
      </c>
      <c r="O9" s="7" t="n">
        <v>2711620</v>
      </c>
      <c r="P9" s="7" t="n">
        <v>2264017</v>
      </c>
      <c r="Q9" s="7" t="n">
        <v>2601328</v>
      </c>
      <c r="R9" s="7" t="n">
        <v>2765718</v>
      </c>
      <c r="S9" s="7" t="n">
        <v>3320392</v>
      </c>
      <c r="T9" s="7" t="n">
        <v>3458837</v>
      </c>
      <c r="U9" s="7" t="n">
        <v>2660313</v>
      </c>
      <c r="V9" s="7" t="n">
        <v>3534463</v>
      </c>
      <c r="W9" s="7" t="n">
        <v>3178133</v>
      </c>
    </row>
    <row r="10">
      <c r="A10" s="6" t="inlineStr">
        <is>
          <t>Override (voter-approved, this year)</t>
        </is>
      </c>
      <c r="C10" s="7" t="n">
        <v>0</v>
      </c>
      <c r="D10" s="7" t="n">
        <v>0</v>
      </c>
      <c r="E10" s="7" t="n">
        <v>0</v>
      </c>
      <c r="F10" s="7" t="n">
        <v>0</v>
      </c>
      <c r="G10" s="7" t="n">
        <v>6200000</v>
      </c>
      <c r="H10" s="7" t="n">
        <v>0</v>
      </c>
      <c r="I10" s="7" t="n">
        <v>0</v>
      </c>
      <c r="J10" s="7" t="n">
        <v>0</v>
      </c>
      <c r="K10" s="7" t="n">
        <v>0</v>
      </c>
      <c r="L10" s="7" t="n">
        <v>0</v>
      </c>
      <c r="M10" s="7" t="n">
        <v>0</v>
      </c>
      <c r="N10" s="7" t="n">
        <v>7665000</v>
      </c>
      <c r="O10" s="7" t="n">
        <v>0</v>
      </c>
      <c r="P10" s="7" t="n">
        <v>0</v>
      </c>
      <c r="Q10" s="7" t="n">
        <v>6575425</v>
      </c>
      <c r="R10" s="7" t="n">
        <v>0</v>
      </c>
      <c r="S10" s="7" t="n">
        <v>0</v>
      </c>
      <c r="T10" s="7" t="n">
        <v>0</v>
      </c>
      <c r="U10" s="7" t="n">
        <v>0</v>
      </c>
      <c r="V10" s="7" t="n">
        <v>11983367</v>
      </c>
      <c r="W10" s="7" t="n">
        <v>0</v>
      </c>
    </row>
    <row r="11">
      <c r="A11" s="6" t="inlineStr">
        <is>
          <t>Debt exclusion revenue</t>
        </is>
      </c>
      <c r="C11" s="7" t="n">
        <v>1676384</v>
      </c>
      <c r="D11" s="7" t="n">
        <v>1648735</v>
      </c>
      <c r="E11" s="7" t="n">
        <v>1614854</v>
      </c>
      <c r="F11" s="7" t="n">
        <v>1568947</v>
      </c>
      <c r="G11" s="7" t="n">
        <v>1692697</v>
      </c>
      <c r="H11" s="7" t="n">
        <v>1667074</v>
      </c>
      <c r="I11" s="7" t="n">
        <v>1258944</v>
      </c>
      <c r="J11" s="7" t="n">
        <v>1090408</v>
      </c>
      <c r="K11" s="7" t="n">
        <v>1630808</v>
      </c>
      <c r="L11" s="7" t="n">
        <v>1112800</v>
      </c>
      <c r="M11" s="7" t="n">
        <v>1094400</v>
      </c>
      <c r="N11" s="7" t="n">
        <v>1076000</v>
      </c>
      <c r="O11" s="7" t="n">
        <v>1048400</v>
      </c>
      <c r="P11" s="7" t="n">
        <v>1020800</v>
      </c>
      <c r="Q11" s="7" t="n">
        <v>3408089</v>
      </c>
      <c r="R11" s="7" t="n">
        <v>5700171</v>
      </c>
      <c r="S11" s="7" t="n">
        <v>13369914</v>
      </c>
      <c r="T11" s="7" t="n">
        <v>20258192</v>
      </c>
      <c r="U11" s="7" t="n">
        <v>20555634</v>
      </c>
      <c r="V11" s="7" t="n">
        <v>20554161</v>
      </c>
      <c r="W11" s="7" t="n">
        <v>22012492</v>
      </c>
    </row>
    <row r="12">
      <c r="A12" s="6" t="inlineStr">
        <is>
          <t>Excess capacity (allowed but not raised)</t>
        </is>
      </c>
      <c r="C12" s="7" t="n">
        <v>-11147</v>
      </c>
      <c r="D12" s="7" t="n">
        <v>-9914</v>
      </c>
      <c r="E12" s="7" t="n">
        <v>-1935</v>
      </c>
      <c r="F12" s="7" t="n">
        <v>-16932</v>
      </c>
      <c r="G12" s="7" t="n">
        <v>-64273</v>
      </c>
      <c r="H12" s="7" t="n">
        <v>-33048</v>
      </c>
      <c r="I12" s="7" t="n">
        <v>-33912</v>
      </c>
      <c r="J12" s="7" t="n">
        <v>-23729</v>
      </c>
      <c r="K12" s="7" t="n">
        <v>-30953</v>
      </c>
      <c r="L12" s="7" t="n">
        <v>-15507</v>
      </c>
      <c r="M12" s="7" t="n">
        <v>-9443</v>
      </c>
      <c r="N12" s="7" t="n">
        <v>-1465000</v>
      </c>
      <c r="O12" s="7" t="n">
        <v>-20718</v>
      </c>
      <c r="P12" s="7" t="n">
        <v>-22759</v>
      </c>
      <c r="Q12" s="7" t="n">
        <v>-3730221</v>
      </c>
      <c r="R12" s="7" t="n">
        <v>-411164</v>
      </c>
      <c r="S12" s="7" t="n">
        <v>0</v>
      </c>
      <c r="T12" s="7" t="n">
        <v>0</v>
      </c>
      <c r="U12" s="7" t="n">
        <v>0</v>
      </c>
      <c r="V12" s="7" t="n">
        <v>-5442663</v>
      </c>
      <c r="W12" s="7" t="n">
        <v>-2555866</v>
      </c>
    </row>
    <row r="13">
      <c r="A13" s="8" t="inlineStr">
        <is>
          <t>TOTAL LEVY (property tax raised)</t>
        </is>
      </c>
      <c r="C13" s="7">
        <f>SUM(C7:C12)</f>
        <v/>
      </c>
      <c r="D13" s="7">
        <f>SUM(D7:D12)</f>
        <v/>
      </c>
      <c r="E13" s="7">
        <f>SUM(E7:E12)</f>
        <v/>
      </c>
      <c r="F13" s="7">
        <f>SUM(F7:F12)</f>
        <v/>
      </c>
      <c r="G13" s="7">
        <f>SUM(G7:G12)</f>
        <v/>
      </c>
      <c r="H13" s="7">
        <f>SUM(H7:H12)</f>
        <v/>
      </c>
      <c r="I13" s="7">
        <f>SUM(I7:I12)</f>
        <v/>
      </c>
      <c r="J13" s="7">
        <f>SUM(J7:J12)</f>
        <v/>
      </c>
      <c r="K13" s="7">
        <f>SUM(K7:K12)</f>
        <v/>
      </c>
      <c r="L13" s="7">
        <f>SUM(L7:L12)</f>
        <v/>
      </c>
      <c r="M13" s="7">
        <f>SUM(M7:M12)</f>
        <v/>
      </c>
      <c r="N13" s="7">
        <f>SUM(N7:N12)</f>
        <v/>
      </c>
      <c r="O13" s="7">
        <f>SUM(O7:O12)</f>
        <v/>
      </c>
      <c r="P13" s="7">
        <f>SUM(P7:P12)</f>
        <v/>
      </c>
      <c r="Q13" s="7">
        <f>SUM(Q7:Q12)</f>
        <v/>
      </c>
      <c r="R13" s="7">
        <f>SUM(R7:R12)</f>
        <v/>
      </c>
      <c r="S13" s="7">
        <f>SUM(S7:S12)</f>
        <v/>
      </c>
      <c r="T13" s="7">
        <f>SUM(T7:T12)</f>
        <v/>
      </c>
      <c r="U13" s="7">
        <f>SUM(U7:U12)</f>
        <v/>
      </c>
      <c r="V13" s="7">
        <f>SUM(V7:V12)</f>
        <v/>
      </c>
      <c r="W13" s="7">
        <f>SUM(W7:W12)</f>
        <v/>
      </c>
    </row>
    <row r="14"/>
    <row r="15">
      <c r="A15" s="3" t="inlineStr">
        <is>
          <t>Revenue</t>
        </is>
      </c>
    </row>
    <row r="16">
      <c r="A16" s="6" t="inlineStr">
        <is>
          <t>State aid</t>
        </is>
      </c>
      <c r="C16" s="7" t="n">
        <v>17094030</v>
      </c>
      <c r="D16" s="7" t="n">
        <v>18027706</v>
      </c>
      <c r="E16" s="7" t="n">
        <v>18021104</v>
      </c>
      <c r="F16" s="7" t="n">
        <v>18973131</v>
      </c>
      <c r="G16" s="7" t="n">
        <v>19623724</v>
      </c>
      <c r="H16" s="7" t="n">
        <v>16536492</v>
      </c>
      <c r="I16" s="7" t="n">
        <v>13796542</v>
      </c>
      <c r="J16" s="7" t="n">
        <v>13383563</v>
      </c>
      <c r="K16" s="7" t="n">
        <v>15131276</v>
      </c>
      <c r="L16" s="7" t="n">
        <v>16659162</v>
      </c>
      <c r="M16" s="7" t="n">
        <v>17634875</v>
      </c>
      <c r="N16" s="7" t="n">
        <v>18837306</v>
      </c>
      <c r="O16" s="7" t="n">
        <v>19657251</v>
      </c>
      <c r="P16" s="7" t="n">
        <v>20352973</v>
      </c>
      <c r="Q16" s="7" t="n">
        <v>22112765</v>
      </c>
      <c r="R16" s="7" t="n">
        <v>22386947</v>
      </c>
      <c r="S16" s="7" t="n">
        <v>22388437</v>
      </c>
      <c r="T16" s="7" t="n">
        <v>22825559</v>
      </c>
      <c r="U16" s="7" t="n">
        <v>23230992</v>
      </c>
      <c r="V16" s="7" t="n">
        <v>23970474</v>
      </c>
      <c r="W16" s="7" t="n">
        <v>24973542</v>
      </c>
    </row>
    <row r="17">
      <c r="A17" s="6" t="inlineStr">
        <is>
          <t>Local receipts (actual)</t>
        </is>
      </c>
      <c r="O17" s="7" t="n">
        <v>29013746</v>
      </c>
      <c r="P17" s="7" t="n">
        <v>36696432</v>
      </c>
      <c r="Q17" s="7" t="n">
        <v>36314826</v>
      </c>
      <c r="R17" s="7" t="n">
        <v>37330419</v>
      </c>
      <c r="S17" s="7" t="n">
        <v>30743773</v>
      </c>
      <c r="T17" s="7" t="n">
        <v>36998699</v>
      </c>
      <c r="U17" s="7" t="n">
        <v>41208035</v>
      </c>
      <c r="V17" s="7" t="n">
        <v>45191956</v>
      </c>
      <c r="W17" s="7" t="n">
        <v>44398178</v>
      </c>
    </row>
    <row r="18">
      <c r="A18" s="6" t="inlineStr">
        <is>
          <t>Total General Fund revenue</t>
        </is>
      </c>
      <c r="C18" s="7" t="n">
        <v>167934717</v>
      </c>
      <c r="D18" s="7" t="n">
        <v>168890619</v>
      </c>
      <c r="E18" s="7" t="n">
        <v>178383652</v>
      </c>
      <c r="F18" s="7" t="n">
        <v>185803513</v>
      </c>
      <c r="G18" s="7" t="n">
        <v>192482479</v>
      </c>
      <c r="H18" s="7" t="n">
        <v>195166931</v>
      </c>
      <c r="I18" s="7" t="n">
        <v>197401346</v>
      </c>
      <c r="J18" s="7" t="n">
        <v>212032653</v>
      </c>
      <c r="K18" s="7" t="n">
        <v>225013338</v>
      </c>
      <c r="L18" s="7" t="n">
        <v>223722368</v>
      </c>
      <c r="M18" s="7" t="n">
        <v>231276828</v>
      </c>
      <c r="N18" s="7" t="n">
        <v>249427185</v>
      </c>
      <c r="O18" s="7" t="n">
        <v>259094788</v>
      </c>
      <c r="P18" s="7" t="n">
        <v>269899635</v>
      </c>
      <c r="Q18" s="7" t="n">
        <v>285287238</v>
      </c>
      <c r="R18" s="7" t="n">
        <v>297528480</v>
      </c>
      <c r="S18" s="7" t="n">
        <v>310021983</v>
      </c>
      <c r="T18" s="7" t="n">
        <v>339419364</v>
      </c>
      <c r="U18" s="7" t="n">
        <v>350331838</v>
      </c>
      <c r="V18" s="7" t="n">
        <v>367822295</v>
      </c>
      <c r="W18" s="7" t="n">
        <v>389982477</v>
      </c>
    </row>
    <row r="19"/>
    <row r="20">
      <c r="A20" s="3" t="inlineStr">
        <is>
          <t>Expense (Schedule A functional categories)</t>
        </is>
      </c>
    </row>
    <row r="21">
      <c r="A21" s="6" t="inlineStr">
        <is>
          <t>Departmental (Town, ex-schools)</t>
        </is>
      </c>
      <c r="C21" s="7" t="n">
        <v>59461219</v>
      </c>
      <c r="D21" s="7" t="n">
        <v>59190778</v>
      </c>
      <c r="E21" s="7" t="n">
        <v>61102930</v>
      </c>
      <c r="F21" s="7" t="n">
        <v>59656754</v>
      </c>
      <c r="G21" s="7" t="n">
        <v>63080051</v>
      </c>
      <c r="H21" s="7" t="n">
        <v>54924068</v>
      </c>
      <c r="I21" s="7" t="n">
        <v>57232651</v>
      </c>
      <c r="J21" s="7" t="n">
        <v>56896873</v>
      </c>
      <c r="K21" s="7" t="n">
        <v>58922081</v>
      </c>
      <c r="L21" s="7" t="n">
        <v>60216818</v>
      </c>
      <c r="M21" s="7" t="n">
        <v>63183806</v>
      </c>
      <c r="N21" s="7" t="n">
        <v>62645774</v>
      </c>
      <c r="O21" s="7" t="n">
        <v>65822838</v>
      </c>
      <c r="P21" s="7" t="n">
        <v>66704605</v>
      </c>
      <c r="Q21" s="7" t="n">
        <v>70022982</v>
      </c>
      <c r="R21" s="7" t="n">
        <v>70330725</v>
      </c>
      <c r="S21" s="7" t="n">
        <v>71125754</v>
      </c>
      <c r="T21" s="7" t="n">
        <v>73256548</v>
      </c>
      <c r="U21" s="7" t="n">
        <v>74280338</v>
      </c>
      <c r="V21" s="7" t="n">
        <v>79621627</v>
      </c>
      <c r="W21" s="7" t="n">
        <v>84622614</v>
      </c>
    </row>
    <row r="22">
      <c r="A22" s="6" t="inlineStr">
        <is>
          <t>Schools (education)</t>
        </is>
      </c>
      <c r="C22" s="7" t="n">
        <v>60438282</v>
      </c>
      <c r="D22" s="7" t="n">
        <v>62851151</v>
      </c>
      <c r="E22" s="7" t="n">
        <v>65126712</v>
      </c>
      <c r="F22" s="7" t="n">
        <v>68709239</v>
      </c>
      <c r="G22" s="7" t="n">
        <v>73794431</v>
      </c>
      <c r="H22" s="7" t="n">
        <v>74506548</v>
      </c>
      <c r="I22" s="7" t="n">
        <v>77435614</v>
      </c>
      <c r="J22" s="7" t="n">
        <v>80636512</v>
      </c>
      <c r="K22" s="7" t="n">
        <v>83991890</v>
      </c>
      <c r="L22" s="7" t="n">
        <v>87479926</v>
      </c>
      <c r="M22" s="7" t="n">
        <v>91894719</v>
      </c>
      <c r="N22" s="7" t="n">
        <v>101064924</v>
      </c>
      <c r="O22" s="7" t="n">
        <v>106968328</v>
      </c>
      <c r="P22" s="7" t="n">
        <v>110623908</v>
      </c>
      <c r="Q22" s="7" t="n">
        <v>116389275</v>
      </c>
      <c r="R22" s="7" t="n">
        <v>123764357</v>
      </c>
      <c r="S22" s="7" t="n">
        <v>126667840</v>
      </c>
      <c r="T22" s="7" t="n">
        <v>128842776</v>
      </c>
      <c r="U22" s="7" t="n">
        <v>130884869</v>
      </c>
      <c r="V22" s="7" t="n">
        <v>140247931</v>
      </c>
      <c r="W22" s="7" t="n">
        <v>146446110</v>
      </c>
    </row>
    <row r="23">
      <c r="A23" s="6" t="inlineStr">
        <is>
          <t>Benefits (fixed_costs: pensions, health, OPEB)</t>
        </is>
      </c>
      <c r="C23" s="7" t="n">
        <v>30467373</v>
      </c>
      <c r="D23" s="7" t="n">
        <v>29290151</v>
      </c>
      <c r="E23" s="7" t="n">
        <v>32545112</v>
      </c>
      <c r="F23" s="7" t="n">
        <v>34761771</v>
      </c>
      <c r="G23" s="7" t="n">
        <v>35997394</v>
      </c>
      <c r="H23" s="7" t="n">
        <v>39478782</v>
      </c>
      <c r="I23" s="7" t="n">
        <v>37512887</v>
      </c>
      <c r="J23" s="7" t="n">
        <v>54074007</v>
      </c>
      <c r="K23" s="7" t="n">
        <v>45542506</v>
      </c>
      <c r="L23" s="7" t="n">
        <v>50186015</v>
      </c>
      <c r="M23" s="7" t="n">
        <v>50885262</v>
      </c>
      <c r="N23" s="7" t="n">
        <v>54609787</v>
      </c>
      <c r="O23" s="7" t="n">
        <v>56010566</v>
      </c>
      <c r="P23" s="7" t="n">
        <v>60824387</v>
      </c>
      <c r="Q23" s="7" t="n">
        <v>61594549</v>
      </c>
      <c r="R23" s="7" t="n">
        <v>65533832</v>
      </c>
      <c r="S23" s="7" t="n">
        <v>68065399</v>
      </c>
      <c r="T23" s="7" t="n">
        <v>72160184</v>
      </c>
      <c r="U23" s="7" t="n">
        <v>77360296</v>
      </c>
      <c r="V23" s="7" t="n">
        <v>80309607</v>
      </c>
      <c r="W23" s="7" t="n">
        <v>89361296</v>
      </c>
    </row>
    <row r="24">
      <c r="A24" s="6" t="inlineStr">
        <is>
          <t>Debt service (total)</t>
        </is>
      </c>
      <c r="C24" s="7" t="n">
        <v>13247416</v>
      </c>
      <c r="D24" s="7" t="n">
        <v>13831466</v>
      </c>
      <c r="E24" s="7" t="n">
        <v>14268142</v>
      </c>
      <c r="F24" s="7" t="n">
        <v>13824443</v>
      </c>
      <c r="G24" s="7" t="n">
        <v>12290160</v>
      </c>
      <c r="H24" s="7" t="n">
        <v>11886156</v>
      </c>
      <c r="I24" s="7" t="n">
        <v>9491021</v>
      </c>
      <c r="J24" s="7" t="n">
        <v>15662064</v>
      </c>
      <c r="K24" s="7" t="n">
        <v>16549607</v>
      </c>
      <c r="L24" s="7" t="n">
        <v>9304648</v>
      </c>
      <c r="M24" s="7" t="n">
        <v>9403333</v>
      </c>
      <c r="N24" s="7" t="n">
        <v>9276014</v>
      </c>
      <c r="O24" s="7" t="n">
        <v>10255514</v>
      </c>
      <c r="P24" s="7" t="n">
        <v>12577453</v>
      </c>
      <c r="Q24" s="7" t="n">
        <v>15631274</v>
      </c>
      <c r="R24" s="7" t="n">
        <v>17976346</v>
      </c>
      <c r="S24" s="7" t="n">
        <v>25056165</v>
      </c>
      <c r="T24" s="7" t="n">
        <v>34262603</v>
      </c>
      <c r="U24" s="7" t="n">
        <v>35445846</v>
      </c>
      <c r="V24" s="7" t="n">
        <v>35718059</v>
      </c>
      <c r="W24" s="7" t="n">
        <v>36286410</v>
      </c>
    </row>
    <row r="25">
      <c r="A25" s="6" t="inlineStr">
        <is>
          <t>Other (residual)</t>
        </is>
      </c>
      <c r="C25" s="7" t="n">
        <v>5352984</v>
      </c>
      <c r="D25" s="7" t="n">
        <v>5084477</v>
      </c>
      <c r="E25" s="7" t="n">
        <v>5483250</v>
      </c>
      <c r="F25" s="7" t="n">
        <v>9764729</v>
      </c>
      <c r="G25" s="7" t="n">
        <v>5493891</v>
      </c>
      <c r="H25" s="7" t="n">
        <v>5559230</v>
      </c>
      <c r="I25" s="7" t="n">
        <v>5576032</v>
      </c>
      <c r="J25" s="7" t="n">
        <v>5654190</v>
      </c>
      <c r="K25" s="7" t="n">
        <v>6105553</v>
      </c>
      <c r="L25" s="7" t="n">
        <v>6196321</v>
      </c>
      <c r="M25" s="7" t="n">
        <v>6221857</v>
      </c>
      <c r="N25" s="7" t="n">
        <v>6283848</v>
      </c>
      <c r="O25" s="7" t="n">
        <v>6423591</v>
      </c>
      <c r="P25" s="7" t="n">
        <v>6480817</v>
      </c>
      <c r="Q25" s="7" t="n">
        <v>6656579</v>
      </c>
      <c r="R25" s="7" t="n">
        <v>6845405</v>
      </c>
      <c r="S25" s="7" t="n">
        <v>6844100</v>
      </c>
      <c r="T25" s="7" t="n">
        <v>6844019</v>
      </c>
      <c r="U25" s="7" t="n">
        <v>7295058</v>
      </c>
      <c r="V25" s="7" t="n">
        <v>7529086</v>
      </c>
      <c r="W25" s="7" t="n">
        <v>7959725</v>
      </c>
    </row>
    <row r="26">
      <c r="A26" s="8" t="inlineStr">
        <is>
          <t>TOTAL EXPENDITURE</t>
        </is>
      </c>
      <c r="C26" s="7">
        <f>SUM(C21:C25)</f>
        <v/>
      </c>
      <c r="D26" s="7">
        <f>SUM(D21:D25)</f>
        <v/>
      </c>
      <c r="E26" s="7">
        <f>SUM(E21:E25)</f>
        <v/>
      </c>
      <c r="F26" s="7">
        <f>SUM(F21:F25)</f>
        <v/>
      </c>
      <c r="G26" s="7">
        <f>SUM(G21:G25)</f>
        <v/>
      </c>
      <c r="H26" s="7">
        <f>SUM(H21:H25)</f>
        <v/>
      </c>
      <c r="I26" s="7">
        <f>SUM(I21:I25)</f>
        <v/>
      </c>
      <c r="J26" s="7">
        <f>SUM(J21:J25)</f>
        <v/>
      </c>
      <c r="K26" s="7">
        <f>SUM(K21:K25)</f>
        <v/>
      </c>
      <c r="L26" s="7">
        <f>SUM(L21:L25)</f>
        <v/>
      </c>
      <c r="M26" s="7">
        <f>SUM(M21:M25)</f>
        <v/>
      </c>
      <c r="N26" s="7">
        <f>SUM(N21:N25)</f>
        <v/>
      </c>
      <c r="O26" s="7">
        <f>SUM(O21:O25)</f>
        <v/>
      </c>
      <c r="P26" s="7">
        <f>SUM(P21:P25)</f>
        <v/>
      </c>
      <c r="Q26" s="7">
        <f>SUM(Q21:Q25)</f>
        <v/>
      </c>
      <c r="R26" s="7">
        <f>SUM(R21:R25)</f>
        <v/>
      </c>
      <c r="S26" s="7">
        <f>SUM(S21:S25)</f>
        <v/>
      </c>
      <c r="T26" s="7">
        <f>SUM(T21:T25)</f>
        <v/>
      </c>
      <c r="U26" s="7">
        <f>SUM(U21:U25)</f>
        <v/>
      </c>
      <c r="V26" s="7">
        <f>SUM(V21:V25)</f>
        <v/>
      </c>
      <c r="W26" s="7">
        <f>SUM(W21:W25)</f>
        <v/>
      </c>
    </row>
    <row r="27"/>
    <row r="28"/>
    <row r="29">
      <c r="A29" s="3" t="inlineStr">
        <is>
          <t>Existing (pre-2005) vs. New Property Cohort - live model</t>
        </is>
      </c>
    </row>
    <row r="30" ht="42" customHeight="1">
      <c r="A30" s="2" t="inlineStr">
        <is>
          <t>Replicates existing_vs_new_property_tax.py exactly: an 'existing' cohort fixed as of FY2005, and a 'new' cohort that permanently absorbs each year's new-growth $ from that year forward - both compound at 2.5%/yr plus their own value-share of that year's override/debt-exclusion/excess-capacity. Base year FY2005: 100% existing, 0% new.</t>
        </is>
      </c>
    </row>
    <row r="31">
      <c r="A31" s="8" t="inlineStr">
        <is>
          <t>Existing: allowed levy limit</t>
        </is>
      </c>
      <c r="C31" s="7">
        <f>C7+C8+C9+C10</f>
        <v/>
      </c>
      <c r="D31" s="7">
        <f>(C31*1.025)+D10*D39</f>
        <v/>
      </c>
      <c r="E31" s="7">
        <f>(D31*1.025)+E10*E39</f>
        <v/>
      </c>
      <c r="F31" s="7">
        <f>(E31*1.025)+F10*F39</f>
        <v/>
      </c>
      <c r="G31" s="7">
        <f>(F31*1.025)+G10*G39</f>
        <v/>
      </c>
      <c r="H31" s="7">
        <f>(G31*1.025)+H10*H39</f>
        <v/>
      </c>
      <c r="I31" s="7">
        <f>(H31*1.025)+I10*I39</f>
        <v/>
      </c>
      <c r="J31" s="7">
        <f>(I31*1.025)+J10*J39</f>
        <v/>
      </c>
      <c r="K31" s="7">
        <f>(J31*1.025)+K10*K39</f>
        <v/>
      </c>
      <c r="L31" s="7">
        <f>(K31*1.025)+L10*L39</f>
        <v/>
      </c>
      <c r="M31" s="7">
        <f>(L31*1.025)+M10*M39</f>
        <v/>
      </c>
      <c r="N31" s="7">
        <f>(M31*1.025)+N10*N39</f>
        <v/>
      </c>
      <c r="O31" s="7">
        <f>(N31*1.025)+O10*O39</f>
        <v/>
      </c>
      <c r="P31" s="7">
        <f>(O31*1.025)+P10*P39</f>
        <v/>
      </c>
      <c r="Q31" s="7">
        <f>(P31*1.025)+Q10*Q39</f>
        <v/>
      </c>
      <c r="R31" s="7">
        <f>(Q31*1.025)+R10*R39</f>
        <v/>
      </c>
      <c r="S31" s="7">
        <f>(R31*1.025)+S10*S39</f>
        <v/>
      </c>
      <c r="T31" s="7">
        <f>(S31*1.025)+T10*T39</f>
        <v/>
      </c>
      <c r="U31" s="7">
        <f>(T31*1.025)+U10*U39</f>
        <v/>
      </c>
      <c r="V31" s="7">
        <f>(U31*1.025)+V10*V39</f>
        <v/>
      </c>
      <c r="W31" s="7">
        <f>(V31*1.025)+W10*W39</f>
        <v/>
      </c>
    </row>
    <row r="32">
      <c r="A32" s="9" t="inlineStr">
        <is>
          <t>Existing: excess-capacity share</t>
        </is>
      </c>
      <c r="C32" s="7">
        <f>C12</f>
        <v/>
      </c>
      <c r="D32" s="7">
        <f>D12*D39</f>
        <v/>
      </c>
      <c r="E32" s="7">
        <f>E12*E39</f>
        <v/>
      </c>
      <c r="F32" s="7">
        <f>F12*F39</f>
        <v/>
      </c>
      <c r="G32" s="7">
        <f>G12*G39</f>
        <v/>
      </c>
      <c r="H32" s="7">
        <f>H12*H39</f>
        <v/>
      </c>
      <c r="I32" s="7">
        <f>I12*I39</f>
        <v/>
      </c>
      <c r="J32" s="7">
        <f>J12*J39</f>
        <v/>
      </c>
      <c r="K32" s="7">
        <f>K12*K39</f>
        <v/>
      </c>
      <c r="L32" s="7">
        <f>L12*L39</f>
        <v/>
      </c>
      <c r="M32" s="7">
        <f>M12*M39</f>
        <v/>
      </c>
      <c r="N32" s="7">
        <f>N12*N39</f>
        <v/>
      </c>
      <c r="O32" s="7">
        <f>O12*O39</f>
        <v/>
      </c>
      <c r="P32" s="7">
        <f>P12*P39</f>
        <v/>
      </c>
      <c r="Q32" s="7">
        <f>Q12*Q39</f>
        <v/>
      </c>
      <c r="R32" s="7">
        <f>R12*R39</f>
        <v/>
      </c>
      <c r="S32" s="7">
        <f>S12*S39</f>
        <v/>
      </c>
      <c r="T32" s="7">
        <f>T12*T39</f>
        <v/>
      </c>
      <c r="U32" s="7">
        <f>U12*U39</f>
        <v/>
      </c>
      <c r="V32" s="7">
        <f>V12*V39</f>
        <v/>
      </c>
      <c r="W32" s="7">
        <f>W12*W39</f>
        <v/>
      </c>
    </row>
    <row r="33">
      <c r="A33" s="9" t="inlineStr">
        <is>
          <t>Existing: debt-exclusion share</t>
        </is>
      </c>
      <c r="C33" s="7">
        <f>C11</f>
        <v/>
      </c>
      <c r="D33" s="7">
        <f>D11*D39</f>
        <v/>
      </c>
      <c r="E33" s="7">
        <f>E11*E39</f>
        <v/>
      </c>
      <c r="F33" s="7">
        <f>F11*F39</f>
        <v/>
      </c>
      <c r="G33" s="7">
        <f>G11*G39</f>
        <v/>
      </c>
      <c r="H33" s="7">
        <f>H11*H39</f>
        <v/>
      </c>
      <c r="I33" s="7">
        <f>I11*I39</f>
        <v/>
      </c>
      <c r="J33" s="7">
        <f>J11*J39</f>
        <v/>
      </c>
      <c r="K33" s="7">
        <f>K11*K39</f>
        <v/>
      </c>
      <c r="L33" s="7">
        <f>L11*L39</f>
        <v/>
      </c>
      <c r="M33" s="7">
        <f>M11*M39</f>
        <v/>
      </c>
      <c r="N33" s="7">
        <f>N11*N39</f>
        <v/>
      </c>
      <c r="O33" s="7">
        <f>O11*O39</f>
        <v/>
      </c>
      <c r="P33" s="7">
        <f>P11*P39</f>
        <v/>
      </c>
      <c r="Q33" s="7">
        <f>Q11*Q39</f>
        <v/>
      </c>
      <c r="R33" s="7">
        <f>R11*R39</f>
        <v/>
      </c>
      <c r="S33" s="7">
        <f>S11*S39</f>
        <v/>
      </c>
      <c r="T33" s="7">
        <f>T11*T39</f>
        <v/>
      </c>
      <c r="U33" s="7">
        <f>U11*U39</f>
        <v/>
      </c>
      <c r="V33" s="7">
        <f>V11*V39</f>
        <v/>
      </c>
      <c r="W33" s="7">
        <f>W11*W39</f>
        <v/>
      </c>
    </row>
    <row r="34">
      <c r="A34" s="8" t="inlineStr">
        <is>
          <t>Existing: TOTAL TAX</t>
        </is>
      </c>
      <c r="C34" s="7">
        <f>SUM(C31,C32,C33)</f>
        <v/>
      </c>
      <c r="D34" s="7">
        <f>SUM(D31,D32,D33)</f>
        <v/>
      </c>
      <c r="E34" s="7">
        <f>SUM(E31,E32,E33)</f>
        <v/>
      </c>
      <c r="F34" s="7">
        <f>SUM(F31,F32,F33)</f>
        <v/>
      </c>
      <c r="G34" s="7">
        <f>SUM(G31,G32,G33)</f>
        <v/>
      </c>
      <c r="H34" s="7">
        <f>SUM(H31,H32,H33)</f>
        <v/>
      </c>
      <c r="I34" s="7">
        <f>SUM(I31,I32,I33)</f>
        <v/>
      </c>
      <c r="J34" s="7">
        <f>SUM(J31,J32,J33)</f>
        <v/>
      </c>
      <c r="K34" s="7">
        <f>SUM(K31,K32,K33)</f>
        <v/>
      </c>
      <c r="L34" s="7">
        <f>SUM(L31,L32,L33)</f>
        <v/>
      </c>
      <c r="M34" s="7">
        <f>SUM(M31,M32,M33)</f>
        <v/>
      </c>
      <c r="N34" s="7">
        <f>SUM(N31,N32,N33)</f>
        <v/>
      </c>
      <c r="O34" s="7">
        <f>SUM(O31,O32,O33)</f>
        <v/>
      </c>
      <c r="P34" s="7">
        <f>SUM(P31,P32,P33)</f>
        <v/>
      </c>
      <c r="Q34" s="7">
        <f>SUM(Q31,Q32,Q33)</f>
        <v/>
      </c>
      <c r="R34" s="7">
        <f>SUM(R31,R32,R33)</f>
        <v/>
      </c>
      <c r="S34" s="7">
        <f>SUM(S31,S32,S33)</f>
        <v/>
      </c>
      <c r="T34" s="7">
        <f>SUM(T31,T32,T33)</f>
        <v/>
      </c>
      <c r="U34" s="7">
        <f>SUM(U31,U32,U33)</f>
        <v/>
      </c>
      <c r="V34" s="7">
        <f>SUM(V31,V32,V33)</f>
        <v/>
      </c>
      <c r="W34" s="7">
        <f>SUM(W31,W32,W33)</f>
        <v/>
      </c>
    </row>
    <row r="35">
      <c r="A35" s="8" t="inlineStr">
        <is>
          <t>New: allowed levy limit</t>
        </is>
      </c>
      <c r="C35" s="7" t="n">
        <v>0</v>
      </c>
      <c r="D35" s="7">
        <f>(C35*1.025+D9)+D10*(1-D39)</f>
        <v/>
      </c>
      <c r="E35" s="7">
        <f>(D35*1.025+E9)+E10*(1-E39)</f>
        <v/>
      </c>
      <c r="F35" s="7">
        <f>(E35*1.025+F9)+F10*(1-F39)</f>
        <v/>
      </c>
      <c r="G35" s="7">
        <f>(F35*1.025+G9)+G10*(1-G39)</f>
        <v/>
      </c>
      <c r="H35" s="7">
        <f>(G35*1.025+H9)+H10*(1-H39)</f>
        <v/>
      </c>
      <c r="I35" s="7">
        <f>(H35*1.025+I9)+I10*(1-I39)</f>
        <v/>
      </c>
      <c r="J35" s="7">
        <f>(I35*1.025+J9)+J10*(1-J39)</f>
        <v/>
      </c>
      <c r="K35" s="7">
        <f>(J35*1.025+K9)+K10*(1-K39)</f>
        <v/>
      </c>
      <c r="L35" s="7">
        <f>(K35*1.025+L9)+L10*(1-L39)</f>
        <v/>
      </c>
      <c r="M35" s="7">
        <f>(L35*1.025+M9)+M10*(1-M39)</f>
        <v/>
      </c>
      <c r="N35" s="7">
        <f>(M35*1.025+N9)+N10*(1-N39)</f>
        <v/>
      </c>
      <c r="O35" s="7">
        <f>(N35*1.025+O9)+O10*(1-O39)</f>
        <v/>
      </c>
      <c r="P35" s="7">
        <f>(O35*1.025+P9)+P10*(1-P39)</f>
        <v/>
      </c>
      <c r="Q35" s="7">
        <f>(P35*1.025+Q9)+Q10*(1-Q39)</f>
        <v/>
      </c>
      <c r="R35" s="7">
        <f>(Q35*1.025+R9)+R10*(1-R39)</f>
        <v/>
      </c>
      <c r="S35" s="7">
        <f>(R35*1.025+S9)+S10*(1-S39)</f>
        <v/>
      </c>
      <c r="T35" s="7">
        <f>(S35*1.025+T9)+T10*(1-T39)</f>
        <v/>
      </c>
      <c r="U35" s="7">
        <f>(T35*1.025+U9)+U10*(1-U39)</f>
        <v/>
      </c>
      <c r="V35" s="7">
        <f>(U35*1.025+V9)+V10*(1-V39)</f>
        <v/>
      </c>
      <c r="W35" s="7">
        <f>(V35*1.025+W9)+W10*(1-W39)</f>
        <v/>
      </c>
    </row>
    <row r="36">
      <c r="A36" s="9" t="inlineStr">
        <is>
          <t>New: excess-capacity share</t>
        </is>
      </c>
      <c r="C36" s="7" t="n">
        <v>0</v>
      </c>
      <c r="D36" s="7">
        <f>D12*(1-D39)</f>
        <v/>
      </c>
      <c r="E36" s="7">
        <f>E12*(1-E39)</f>
        <v/>
      </c>
      <c r="F36" s="7">
        <f>F12*(1-F39)</f>
        <v/>
      </c>
      <c r="G36" s="7">
        <f>G12*(1-G39)</f>
        <v/>
      </c>
      <c r="H36" s="7">
        <f>H12*(1-H39)</f>
        <v/>
      </c>
      <c r="I36" s="7">
        <f>I12*(1-I39)</f>
        <v/>
      </c>
      <c r="J36" s="7">
        <f>J12*(1-J39)</f>
        <v/>
      </c>
      <c r="K36" s="7">
        <f>K12*(1-K39)</f>
        <v/>
      </c>
      <c r="L36" s="7">
        <f>L12*(1-L39)</f>
        <v/>
      </c>
      <c r="M36" s="7">
        <f>M12*(1-M39)</f>
        <v/>
      </c>
      <c r="N36" s="7">
        <f>N12*(1-N39)</f>
        <v/>
      </c>
      <c r="O36" s="7">
        <f>O12*(1-O39)</f>
        <v/>
      </c>
      <c r="P36" s="7">
        <f>P12*(1-P39)</f>
        <v/>
      </c>
      <c r="Q36" s="7">
        <f>Q12*(1-Q39)</f>
        <v/>
      </c>
      <c r="R36" s="7">
        <f>R12*(1-R39)</f>
        <v/>
      </c>
      <c r="S36" s="7">
        <f>S12*(1-S39)</f>
        <v/>
      </c>
      <c r="T36" s="7">
        <f>T12*(1-T39)</f>
        <v/>
      </c>
      <c r="U36" s="7">
        <f>U12*(1-U39)</f>
        <v/>
      </c>
      <c r="V36" s="7">
        <f>V12*(1-V39)</f>
        <v/>
      </c>
      <c r="W36" s="7">
        <f>W12*(1-W39)</f>
        <v/>
      </c>
    </row>
    <row r="37">
      <c r="A37" s="9" t="inlineStr">
        <is>
          <t>New: debt-exclusion share</t>
        </is>
      </c>
      <c r="C37" s="7" t="n">
        <v>0</v>
      </c>
      <c r="D37" s="7">
        <f>D11*(1-D39)</f>
        <v/>
      </c>
      <c r="E37" s="7">
        <f>E11*(1-E39)</f>
        <v/>
      </c>
      <c r="F37" s="7">
        <f>F11*(1-F39)</f>
        <v/>
      </c>
      <c r="G37" s="7">
        <f>G11*(1-G39)</f>
        <v/>
      </c>
      <c r="H37" s="7">
        <f>H11*(1-H39)</f>
        <v/>
      </c>
      <c r="I37" s="7">
        <f>I11*(1-I39)</f>
        <v/>
      </c>
      <c r="J37" s="7">
        <f>J11*(1-J39)</f>
        <v/>
      </c>
      <c r="K37" s="7">
        <f>K11*(1-K39)</f>
        <v/>
      </c>
      <c r="L37" s="7">
        <f>L11*(1-L39)</f>
        <v/>
      </c>
      <c r="M37" s="7">
        <f>M11*(1-M39)</f>
        <v/>
      </c>
      <c r="N37" s="7">
        <f>N11*(1-N39)</f>
        <v/>
      </c>
      <c r="O37" s="7">
        <f>O11*(1-O39)</f>
        <v/>
      </c>
      <c r="P37" s="7">
        <f>P11*(1-P39)</f>
        <v/>
      </c>
      <c r="Q37" s="7">
        <f>Q11*(1-Q39)</f>
        <v/>
      </c>
      <c r="R37" s="7">
        <f>R11*(1-R39)</f>
        <v/>
      </c>
      <c r="S37" s="7">
        <f>S11*(1-S39)</f>
        <v/>
      </c>
      <c r="T37" s="7">
        <f>T11*(1-T39)</f>
        <v/>
      </c>
      <c r="U37" s="7">
        <f>U11*(1-U39)</f>
        <v/>
      </c>
      <c r="V37" s="7">
        <f>V11*(1-V39)</f>
        <v/>
      </c>
      <c r="W37" s="7">
        <f>W11*(1-W39)</f>
        <v/>
      </c>
    </row>
    <row r="38">
      <c r="A38" s="8" t="inlineStr">
        <is>
          <t>New: TOTAL TAX</t>
        </is>
      </c>
      <c r="C38" s="7">
        <f>SUM(C35,C36,C37)</f>
        <v/>
      </c>
      <c r="D38" s="7">
        <f>SUM(D35,D36,D37)</f>
        <v/>
      </c>
      <c r="E38" s="7">
        <f>SUM(E35,E36,E37)</f>
        <v/>
      </c>
      <c r="F38" s="7">
        <f>SUM(F35,F36,F37)</f>
        <v/>
      </c>
      <c r="G38" s="7">
        <f>SUM(G35,G36,G37)</f>
        <v/>
      </c>
      <c r="H38" s="7">
        <f>SUM(H35,H36,H37)</f>
        <v/>
      </c>
      <c r="I38" s="7">
        <f>SUM(I35,I36,I37)</f>
        <v/>
      </c>
      <c r="J38" s="7">
        <f>SUM(J35,J36,J37)</f>
        <v/>
      </c>
      <c r="K38" s="7">
        <f>SUM(K35,K36,K37)</f>
        <v/>
      </c>
      <c r="L38" s="7">
        <f>SUM(L35,L36,L37)</f>
        <v/>
      </c>
      <c r="M38" s="7">
        <f>SUM(M35,M36,M37)</f>
        <v/>
      </c>
      <c r="N38" s="7">
        <f>SUM(N35,N36,N37)</f>
        <v/>
      </c>
      <c r="O38" s="7">
        <f>SUM(O35,O36,O37)</f>
        <v/>
      </c>
      <c r="P38" s="7">
        <f>SUM(P35,P36,P37)</f>
        <v/>
      </c>
      <c r="Q38" s="7">
        <f>SUM(Q35,Q36,Q37)</f>
        <v/>
      </c>
      <c r="R38" s="7">
        <f>SUM(R35,R36,R37)</f>
        <v/>
      </c>
      <c r="S38" s="7">
        <f>SUM(S35,S36,S37)</f>
        <v/>
      </c>
      <c r="T38" s="7">
        <f>SUM(T35,T36,T37)</f>
        <v/>
      </c>
      <c r="U38" s="7">
        <f>SUM(U35,U36,U37)</f>
        <v/>
      </c>
      <c r="V38" s="7">
        <f>SUM(V35,V36,V37)</f>
        <v/>
      </c>
      <c r="W38" s="7">
        <f>SUM(W35,W36,W37)</f>
        <v/>
      </c>
    </row>
    <row r="39">
      <c r="A39" s="9" t="inlineStr">
        <is>
          <t>Existing share of pre-item total (helper)</t>
        </is>
      </c>
      <c r="C39" t="n">
        <v>1</v>
      </c>
      <c r="D39">
        <f>(C31*1.025)/((C31*1.025)+(C35*1.025+D9))</f>
        <v/>
      </c>
      <c r="E39">
        <f>(D31*1.025)/((D31*1.025)+(D35*1.025+E9))</f>
        <v/>
      </c>
      <c r="F39">
        <f>(E31*1.025)/((E31*1.025)+(E35*1.025+F9))</f>
        <v/>
      </c>
      <c r="G39">
        <f>(F31*1.025)/((F31*1.025)+(F35*1.025+G9))</f>
        <v/>
      </c>
      <c r="H39">
        <f>(G31*1.025)/((G31*1.025)+(G35*1.025+H9))</f>
        <v/>
      </c>
      <c r="I39">
        <f>(H31*1.025)/((H31*1.025)+(H35*1.025+I9))</f>
        <v/>
      </c>
      <c r="J39">
        <f>(I31*1.025)/((I31*1.025)+(I35*1.025+J9))</f>
        <v/>
      </c>
      <c r="K39">
        <f>(J31*1.025)/((J31*1.025)+(J35*1.025+K9))</f>
        <v/>
      </c>
      <c r="L39">
        <f>(K31*1.025)/((K31*1.025)+(K35*1.025+L9))</f>
        <v/>
      </c>
      <c r="M39">
        <f>(L31*1.025)/((L31*1.025)+(L35*1.025+M9))</f>
        <v/>
      </c>
      <c r="N39">
        <f>(M31*1.025)/((M31*1.025)+(M35*1.025+N9))</f>
        <v/>
      </c>
      <c r="O39">
        <f>(N31*1.025)/((N31*1.025)+(N35*1.025+O9))</f>
        <v/>
      </c>
      <c r="P39">
        <f>(O31*1.025)/((O31*1.025)+(O35*1.025+P9))</f>
        <v/>
      </c>
      <c r="Q39">
        <f>(P31*1.025)/((P31*1.025)+(P35*1.025+Q9))</f>
        <v/>
      </c>
      <c r="R39">
        <f>(Q31*1.025)/((Q31*1.025)+(Q35*1.025+R9))</f>
        <v/>
      </c>
      <c r="S39">
        <f>(R31*1.025)/((R31*1.025)+(R35*1.025+S9))</f>
        <v/>
      </c>
      <c r="T39">
        <f>(S31*1.025)/((S31*1.025)+(S35*1.025+T9))</f>
        <v/>
      </c>
      <c r="U39">
        <f>(T31*1.025)/((T31*1.025)+(T35*1.025+U9))</f>
        <v/>
      </c>
      <c r="V39">
        <f>(U31*1.025)/((U31*1.025)+(U35*1.025+V9))</f>
        <v/>
      </c>
      <c r="W39">
        <f>(V31*1.025)/((V31*1.025)+(V35*1.025+W9))</f>
        <v/>
      </c>
    </row>
    <row r="40">
      <c r="A40" s="9" t="inlineStr">
        <is>
          <t>Check: existing+new vs. total levy (should be $0)</t>
        </is>
      </c>
      <c r="C40" s="7">
        <f>C34+C38-C13</f>
        <v/>
      </c>
      <c r="D40" s="7">
        <f>D34+D38-D13</f>
        <v/>
      </c>
      <c r="E40" s="7">
        <f>E34+E38-E13</f>
        <v/>
      </c>
      <c r="F40" s="7">
        <f>F34+F38-F13</f>
        <v/>
      </c>
      <c r="G40" s="7">
        <f>G34+G38-G13</f>
        <v/>
      </c>
      <c r="H40" s="7">
        <f>H34+H38-H13</f>
        <v/>
      </c>
      <c r="I40" s="7">
        <f>I34+I38-I13</f>
        <v/>
      </c>
      <c r="J40" s="7">
        <f>J34+J38-J13</f>
        <v/>
      </c>
      <c r="K40" s="7">
        <f>K34+K38-K13</f>
        <v/>
      </c>
      <c r="L40" s="7">
        <f>L34+L38-L13</f>
        <v/>
      </c>
      <c r="M40" s="7">
        <f>M34+M38-M13</f>
        <v/>
      </c>
      <c r="N40" s="7">
        <f>N34+N38-N13</f>
        <v/>
      </c>
      <c r="O40" s="7">
        <f>O34+O38-O13</f>
        <v/>
      </c>
      <c r="P40" s="7">
        <f>P34+P38-P13</f>
        <v/>
      </c>
      <c r="Q40" s="7">
        <f>Q34+Q38-Q13</f>
        <v/>
      </c>
      <c r="R40" s="7">
        <f>R34+R38-R13</f>
        <v/>
      </c>
      <c r="S40" s="7">
        <f>S34+S38-S13</f>
        <v/>
      </c>
      <c r="T40" s="7">
        <f>T34+T38-T13</f>
        <v/>
      </c>
      <c r="U40" s="7">
        <f>U34+U38-U13</f>
        <v/>
      </c>
      <c r="V40" s="7">
        <f>V34+V38-V13</f>
        <v/>
      </c>
      <c r="W40" s="7">
        <f>W34+W38-W13</f>
        <v/>
      </c>
    </row>
  </sheetData>
  <mergeCells count="3">
    <mergeCell ref="A3:Q3"/>
    <mergeCell ref="A30:Q30"/>
    <mergeCell ref="A1:W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3"/>
  <sheetViews>
    <sheetView showGridLines="0" workbookViewId="0">
      <selection activeCell="A1" sqref="A1"/>
    </sheetView>
  </sheetViews>
  <sheetFormatPr baseColWidth="8" defaultRowHeight="15" outlineLevelCol="0"/>
  <cols>
    <col width="46" customWidth="1" min="1" max="1"/>
    <col width="16" customWidth="1" min="2" max="2"/>
    <col width="10" customWidth="1" min="3" max="3"/>
    <col width="90" customWidth="1" min="4" max="4"/>
  </cols>
  <sheetData>
    <row r="1" ht="26" customHeight="1">
      <c r="A1" s="1" t="inlineStr">
        <is>
          <t>Assumptions</t>
        </is>
      </c>
    </row>
    <row r="2"/>
    <row r="3" ht="42" customHeight="1">
      <c r="A3" s="10" t="inlineStr">
        <is>
          <t>Every rate/parameter the forecast tabs consume as a LIVE formula input. Tan cells are editable - change one here and the Revenue, Expense, and New-Growth-Scenario tabs recalculate. Grey-filled rows elsewhere in the workbook are genuinely bespoke sub-models (CHCA's construction phasing math aside, which IS live) pulled in as already-computed, cited values instead - see the Guide tab for which is which and why.</t>
        </is>
      </c>
    </row>
    <row r="4"/>
    <row r="5">
      <c r="A5" s="3" t="inlineStr">
        <is>
          <t>Prop 2½ statutory mechanics</t>
        </is>
      </c>
    </row>
    <row r="6">
      <c r="A6" s="4" t="inlineStr">
        <is>
          <t>Assumption</t>
        </is>
      </c>
      <c r="B6" s="4" t="inlineStr">
        <is>
          <t>Value</t>
        </is>
      </c>
      <c r="C6" s="4" t="inlineStr">
        <is>
          <t>Unit</t>
        </is>
      </c>
      <c r="D6" s="4" t="inlineStr">
        <is>
          <t>Source / citation</t>
        </is>
      </c>
    </row>
    <row r="7" ht="14" customHeight="1">
      <c r="A7" t="inlineStr">
        <is>
          <t>Statutory annual increase</t>
        </is>
      </c>
      <c r="B7" s="11" t="n">
        <v>0.025</v>
      </c>
      <c r="C7" t="inlineStr">
        <is>
          <t>%/yr</t>
        </is>
      </c>
      <c r="D7" s="12" t="inlineStr">
        <is>
          <t>M.G.L. c.59 §21C - fixed by state law, not a policy choice.</t>
        </is>
      </c>
    </row>
    <row r="8"/>
    <row r="9">
      <c r="A9" s="3" t="inlineStr">
        <is>
          <t>Phase 1 (baseline revenue) — new growth, town_assumptions</t>
        </is>
      </c>
    </row>
    <row r="10">
      <c r="A10" s="4" t="inlineStr">
        <is>
          <t>Assumption</t>
        </is>
      </c>
      <c r="B10" s="4" t="inlineStr">
        <is>
          <t>Value</t>
        </is>
      </c>
      <c r="C10" s="4" t="inlineStr">
        <is>
          <t>Unit</t>
        </is>
      </c>
      <c r="D10" s="4" t="inlineStr">
        <is>
          <t>Source / citation</t>
        </is>
      </c>
    </row>
    <row r="11" ht="28" customHeight="1">
      <c r="A11" t="inlineStr">
        <is>
          <t>New growth ($/yr, flat)</t>
        </is>
      </c>
      <c r="B11" s="13" t="n">
        <v>2500000</v>
      </c>
      <c r="C11" t="inlineStr">
        <is>
          <t>$/yr</t>
        </is>
      </c>
      <c r="D11" s="12" t="inlineStr">
        <is>
          <t>Town's own FY27-31 LRFP assumption (p.3 'Primary Assumptions': '$2.5M assumed for new growth, including out-years').</t>
        </is>
      </c>
    </row>
    <row r="12"/>
    <row r="13">
      <c r="A13" s="3" t="inlineStr">
        <is>
          <t>May 2026 operating override (FY2027-2029) — decided fact, both scenarios</t>
        </is>
      </c>
    </row>
    <row r="14">
      <c r="A14" s="4" t="inlineStr">
        <is>
          <t>Assumption</t>
        </is>
      </c>
      <c r="B14" s="4" t="inlineStr">
        <is>
          <t>Value</t>
        </is>
      </c>
      <c r="C14" s="4" t="inlineStr">
        <is>
          <t>Unit</t>
        </is>
      </c>
      <c r="D14" s="4" t="inlineStr">
        <is>
          <t>Source / citation</t>
        </is>
      </c>
    </row>
    <row r="15" ht="70" customHeight="1">
      <c r="A15" t="inlineStr">
        <is>
          <t>FY2027 tranche</t>
        </is>
      </c>
      <c r="B15" s="13" t="n">
        <v>9852330</v>
      </c>
      <c r="C15" t="inlineStr">
        <is>
          <t>$</t>
        </is>
      </c>
      <c r="D15" s="12" t="inlineStr">
        <is>
          <t>Ben's own 'FY27-FY29 Brookline property tax &amp; impact of new growth.xlsx', cross-sourced against the Override Guide's $23,254,439 3-year total (data/SOURCES.md). Passed 2026-05-05 - NOT in the Town's own FY27-31 LRFP (that document predates the vote by 4 months; its own 'General Override' levy-buildup line is blank every year). See README Part 3a for the full correction story.</t>
        </is>
      </c>
    </row>
    <row r="16" ht="14" customHeight="1">
      <c r="A16" t="inlineStr">
        <is>
          <t>FY2028 tranche</t>
        </is>
      </c>
      <c r="B16" s="13" t="n">
        <v>5602871</v>
      </c>
      <c r="C16" t="inlineStr">
        <is>
          <t>$</t>
        </is>
      </c>
      <c r="D16" s="12" t="inlineStr">
        <is>
          <t>As above.</t>
        </is>
      </c>
    </row>
    <row r="17" ht="14" customHeight="1">
      <c r="A17" t="inlineStr">
        <is>
          <t>FY2029 tranche</t>
        </is>
      </c>
      <c r="B17" s="13" t="n">
        <v>7799238</v>
      </c>
      <c r="C17" t="inlineStr">
        <is>
          <t>$</t>
        </is>
      </c>
      <c r="D17" s="12" t="inlineStr">
        <is>
          <t>As above.</t>
        </is>
      </c>
    </row>
    <row r="18">
      <c r="A18" s="14" t="inlineStr">
        <is>
          <t>Each tranche is 'permanent, not phased-out' (Override Guide) - once added, it stays in the levy base and compounds at 2.5%/yr forever after, exactly like every historical override.</t>
        </is>
      </c>
    </row>
    <row r="19"/>
    <row r="20">
      <c r="A20" s="3" t="inlineStr">
        <is>
          <t>Chestnut Hill Commercial Area (CHCA) — real, confirmed project, both Phase 1 &amp; 2</t>
        </is>
      </c>
    </row>
    <row r="21">
      <c r="A21" s="4" t="inlineStr">
        <is>
          <t>Assumption</t>
        </is>
      </c>
      <c r="B21" s="4" t="inlineStr">
        <is>
          <t>Value</t>
        </is>
      </c>
      <c r="C21" s="4" t="inlineStr">
        <is>
          <t>Unit</t>
        </is>
      </c>
      <c r="D21" s="4" t="inlineStr">
        <is>
          <t>Source / citation</t>
        </is>
      </c>
    </row>
    <row r="22" ht="14" customHeight="1">
      <c r="A22" t="inlineStr">
        <is>
          <t>Construction start FY (0% ramp point)</t>
        </is>
      </c>
      <c r="B22" s="13" t="n">
        <v>2032</v>
      </c>
      <c r="C22" t="inlineStr">
        <is>
          <t>FY</t>
        </is>
      </c>
      <c r="D22" s="12" t="inlineStr">
        <is>
          <t>First FY substantially affected by the 2028 groundbreaking.</t>
        </is>
      </c>
    </row>
    <row r="23" ht="14" customHeight="1">
      <c r="A23" t="inlineStr">
        <is>
          <t>Full stabilization FY (100% ramp point)</t>
        </is>
      </c>
      <c r="B23" s="13" t="n">
        <v>2035</v>
      </c>
      <c r="C23" t="inlineStr">
        <is>
          <t>FY</t>
        </is>
      </c>
      <c r="D23" s="12" t="inlineStr">
        <is>
          <t>~5yr construction/lease-up, landing near ERSC's 7yr+18mo span.</t>
        </is>
      </c>
    </row>
    <row r="24" ht="28" customHeight="1">
      <c r="A24" t="inlineStr">
        <is>
          <t>Property tax at stabilization (Phase 1, RKG scenario)</t>
        </is>
      </c>
      <c r="B24" s="13" t="n">
        <v>3158174</v>
      </c>
      <c r="C24" t="inlineStr">
        <is>
          <t>$</t>
        </is>
      </c>
      <c r="D24" s="12" t="inlineStr">
        <is>
          <t>RKG's own independent scenario (more conservative than the developer's City Realty average) - ERSC report Appendix p.551-555.</t>
        </is>
      </c>
    </row>
    <row r="25" ht="14" customHeight="1">
      <c r="A25" t="inlineStr">
        <is>
          <t>Local receipts at stabilization (Phase 1, RKG scenario)</t>
        </is>
      </c>
      <c r="B25" s="13" t="n">
        <v>480435</v>
      </c>
      <c r="C25" t="inlineStr">
        <is>
          <t>$</t>
        </is>
      </c>
      <c r="D25" s="12" t="inlineStr">
        <is>
          <t>As above - rooms tax + motor vehicle excise.</t>
        </is>
      </c>
    </row>
    <row r="26" ht="28" customHeight="1">
      <c r="A26" t="inlineStr">
        <is>
          <t>Property tax at stabilization (Phase 2, City Realty avg)</t>
        </is>
      </c>
      <c r="B26" s="13" t="n">
        <v>5408241</v>
      </c>
      <c r="C26" t="inlineStr">
        <is>
          <t>$</t>
        </is>
      </c>
      <c r="D26" s="12" t="inlineStr">
        <is>
          <t>Average of City Realty's 3 developer scenarios - used for Phase 2's own new-growth scenarios.</t>
        </is>
      </c>
    </row>
    <row r="27" ht="14" customHeight="1">
      <c r="A27" t="inlineStr">
        <is>
          <t>Local receipts at stabilization (Phase 2, City Realty avg)</t>
        </is>
      </c>
      <c r="B27" s="13" t="n">
        <v>917905</v>
      </c>
      <c r="C27" t="inlineStr">
        <is>
          <t>$</t>
        </is>
      </c>
      <c r="D27" s="12" t="inlineStr">
        <is>
          <t>As above.</t>
        </is>
      </c>
    </row>
    <row r="28"/>
    <row r="29">
      <c r="A29" s="3" t="inlineStr">
        <is>
          <t>Phase 1 (trend_corrected) — new growth &amp; revenue trend rates (all live off Historical tab)</t>
        </is>
      </c>
    </row>
    <row r="30">
      <c r="A30" s="4" t="inlineStr">
        <is>
          <t>Assumption</t>
        </is>
      </c>
      <c r="B30" s="4" t="inlineStr">
        <is>
          <t>Value</t>
        </is>
      </c>
      <c r="C30" s="4" t="inlineStr">
        <is>
          <t>Unit</t>
        </is>
      </c>
      <c r="D30" s="4" t="inlineStr">
        <is>
          <t>Source / citation</t>
        </is>
      </c>
    </row>
    <row r="31" ht="42" customHeight="1">
      <c r="A31" t="inlineStr">
        <is>
          <t>New growth (%/yr of prior levy limit, trailing 5yr actual)</t>
        </is>
      </c>
      <c r="B31" s="15">
        <f>(('Historical FY05-25'!S9/'Historical FY05-25'!S7)+('Historical FY05-25'!T9/'Historical FY05-25'!T7)+('Historical FY05-25'!U9/'Historical FY05-25'!U7)+('Historical FY05-25'!V9/'Historical FY05-25'!V7)+('Historical FY05-25'!W9/'Historical FY05-25'!W7))/5</f>
        <v/>
      </c>
      <c r="C31" t="inlineStr">
        <is>
          <t>%/yr</t>
        </is>
      </c>
      <c r="D31" s="12" t="inlineStr">
        <is>
          <t>Trailing 5-year actual average, FY2021-2025: new_growth / prior_levy_limit each year, from the Historical tab (DOR/DLS convention). Live formula - references Historical directly.</t>
        </is>
      </c>
    </row>
    <row r="32" ht="14" customHeight="1">
      <c r="A32" t="inlineStr">
        <is>
          <t>State aid CAGR (trailing 10yr actual)</t>
        </is>
      </c>
      <c r="B32" s="15">
        <f>('Historical FY05-25'!W16/'Historical FY05-25'!M16)^(1/10)-1</f>
        <v/>
      </c>
      <c r="C32" t="inlineStr">
        <is>
          <t>%/yr</t>
        </is>
      </c>
      <c r="D32" s="12" t="inlineStr">
        <is>
          <t>FY2015→FY2025 actual, 10yr window chosen to smooth year-to-year state-budget noise.</t>
        </is>
      </c>
    </row>
    <row r="33" ht="70" customHeight="1">
      <c r="A33" t="inlineStr">
        <is>
          <t>Local receipts CAGR (trailing 6yr actual)</t>
        </is>
      </c>
      <c r="B33" s="15">
        <f>('Historical FY05-25'!W17/'Historical FY05-25'!Q17)^(1/6)-1</f>
        <v/>
      </c>
      <c r="C33" t="inlineStr">
        <is>
          <t>%/yr</t>
        </is>
      </c>
      <c r="D33" s="12" t="inlineStr">
        <is>
          <t>FY2019→FY2025 actual (FY2019, not FY2015, to skip the FY2020-21 COVID dip). NOTE: this simple CAGR is for reference only - the live Revenue tab's trend_corrected Local Receipts line is a cited/computed value (see Guide tab), since the real model splits out meals tax and building permits separately first (a genuinely bespoke sub-model, not re-derived in this workbook).</t>
        </is>
      </c>
    </row>
    <row r="34"/>
    <row r="35">
      <c r="A35" s="3" t="inlineStr">
        <is>
          <t>Phase 2 — 5-category new-growth mix, %/yr of prior operating levy, by scenario</t>
        </is>
      </c>
    </row>
    <row r="36">
      <c r="A36" s="14" t="inlineStr">
        <is>
          <t>The core stress-test surface: change any tan cell and every downstream FY2026-2040 property-tax figure on the New Growth Scenarios tab recalculates.</t>
        </is>
      </c>
    </row>
    <row r="37">
      <c r="A37" t="inlineStr">
        <is>
          <t>Category</t>
        </is>
      </c>
      <c r="B37" s="16" t="inlineStr">
        <is>
          <t>trend_continues</t>
        </is>
      </c>
      <c r="C37" s="16" t="inlineStr">
        <is>
          <t>peer_target_residential_led</t>
        </is>
      </c>
      <c r="D37" s="16" t="inlineStr">
        <is>
          <t>peer_target_commercial_led</t>
        </is>
      </c>
      <c r="E37" s="16" t="inlineStr">
        <is>
          <t>peer_target_balanced_mix</t>
        </is>
      </c>
    </row>
    <row r="38">
      <c r="A38" t="inlineStr">
        <is>
          <t>Residential - new construction</t>
        </is>
      </c>
      <c r="B38" s="17" t="n">
        <v>0.002405413</v>
      </c>
      <c r="C38" s="17" t="n">
        <v>0.009375413000000001</v>
      </c>
      <c r="D38" s="17" t="n">
        <v>0.002405413</v>
      </c>
      <c r="E38" s="17" t="n">
        <v>0.005890413000000001</v>
      </c>
    </row>
    <row r="39">
      <c r="A39" t="inlineStr">
        <is>
          <t>Residential - renovation</t>
        </is>
      </c>
      <c r="B39" s="17" t="n">
        <v>0.005984587</v>
      </c>
      <c r="C39" s="17" t="n">
        <v>0.005984587</v>
      </c>
      <c r="D39" s="17" t="n">
        <v>0.005984587</v>
      </c>
      <c r="E39" s="17" t="n">
        <v>0.005984587</v>
      </c>
    </row>
    <row r="40">
      <c r="A40" t="inlineStr">
        <is>
          <t>Commercial - new construction</t>
        </is>
      </c>
      <c r="B40" s="17" t="n">
        <v>9.636000000000001e-05</v>
      </c>
      <c r="C40" s="17" t="n">
        <v>9.636000000000001e-05</v>
      </c>
      <c r="D40" s="17" t="n">
        <v>0.007066360000000001</v>
      </c>
      <c r="E40" s="17" t="n">
        <v>0.00358136</v>
      </c>
    </row>
    <row r="41">
      <c r="A41" t="inlineStr">
        <is>
          <t>Commercial - renovation</t>
        </is>
      </c>
      <c r="B41" s="17" t="n">
        <v>0.00198864</v>
      </c>
      <c r="C41" s="17" t="n">
        <v>0.00198864</v>
      </c>
      <c r="D41" s="17" t="n">
        <v>0.00198864</v>
      </c>
      <c r="E41" s="17" t="n">
        <v>0.00198864</v>
      </c>
    </row>
    <row r="42">
      <c r="A42" t="inlineStr">
        <is>
          <t>Commercial - personal property</t>
        </is>
      </c>
      <c r="B42" s="17" t="n">
        <v>0.002295</v>
      </c>
      <c r="C42" s="17" t="n">
        <v>0.002295</v>
      </c>
      <c r="D42" s="17" t="n">
        <v>0.002295</v>
      </c>
      <c r="E42" s="17" t="n">
        <v>0.002295</v>
      </c>
    </row>
    <row r="43"/>
    <row r="44" ht="28" customHeight="1">
      <c r="A44" t="inlineStr">
        <is>
          <t>Category source (all rows above): res_new/res_reno split from the land-value-map classifier (FY2021-25 trailing); com_new/com_reno/com_pp from DOR Schedule A trailing-5yr CIP new-growth, split via the Town's own Tax Classification Hearing personal-property data. See new_growth_scenarios_fy26_40_methodology.md for full sourcing of every category.</t>
        </is>
      </c>
      <c r="B44" s="17" t="n">
        <v>0.01974</v>
      </c>
      <c r="C44" t="inlineStr">
        <is>
          <t>%/yr</t>
        </is>
      </c>
      <c r="D44" s="2" t="inlineStr">
        <is>
          <t>Recomputed 2026-08-28 directly from the DLS statewide new-growth dataset, trailing-5yr window (matches trend_corrected's own window) - see .claude/memorialized.md.</t>
        </is>
      </c>
    </row>
    <row r="45"/>
    <row r="46">
      <c r="A46" s="3" t="inlineStr">
        <is>
          <t>Tax-rate drift &amp; value appreciation (cited elsewhere - shown here for transparency)</t>
        </is>
      </c>
    </row>
    <row r="47">
      <c r="A47" s="4" t="inlineStr">
        <is>
          <t>Assumption</t>
        </is>
      </c>
      <c r="B47" s="4" t="inlineStr">
        <is>
          <t>Value</t>
        </is>
      </c>
      <c r="C47" s="4" t="inlineStr">
        <is>
          <t>Unit</t>
        </is>
      </c>
      <c r="D47" s="4" t="inlineStr">
        <is>
          <t>Source / citation</t>
        </is>
      </c>
    </row>
    <row r="48" ht="28" customHeight="1">
      <c r="A48" t="inlineStr">
        <is>
          <t>Residential value per new unit (FY2026)</t>
        </is>
      </c>
      <c r="B48" t="n">
        <v>430000</v>
      </c>
      <c r="C48" t="inlineStr">
        <is>
          <t>$</t>
        </is>
      </c>
      <c r="D48" s="12" t="inlineStr">
        <is>
          <t>Units-weighted, FY2026 basis. Back-solved against the Town's own permit count; centre of a ~$325k-$580k range.</t>
        </is>
      </c>
    </row>
    <row r="49" ht="14" customHeight="1">
      <c r="A49" t="inlineStr">
        <is>
          <t>Commercial value per new sqft (FY2026)</t>
        </is>
      </c>
      <c r="B49" t="n">
        <v>518</v>
      </c>
      <c r="C49" t="inlineStr">
        <is>
          <t>$</t>
        </is>
      </c>
      <c r="D49" s="12" t="inlineStr">
        <is>
          <t>Town-wide weighted average, FY2026 basis.</t>
        </is>
      </c>
    </row>
    <row r="50" ht="14" customHeight="1">
      <c r="A50" t="inlineStr">
        <is>
          <t>Residential value appreciation rate</t>
        </is>
      </c>
      <c r="B50" s="11" t="n">
        <v>0.0496</v>
      </c>
      <c r="C50" t="inlineStr">
        <is>
          <t>%/yr</t>
        </is>
      </c>
      <c r="D50" s="12" t="inlineStr">
        <is>
          <t>Trailing actual.</t>
        </is>
      </c>
    </row>
    <row r="51" ht="14" customHeight="1">
      <c r="A51" t="inlineStr">
        <is>
          <t>Commercial value appreciation rate</t>
        </is>
      </c>
      <c r="B51" s="11" t="n">
        <v>0.0128</v>
      </c>
      <c r="C51" t="inlineStr">
        <is>
          <t>%/yr</t>
        </is>
      </c>
      <c r="D51" s="12" t="inlineStr">
        <is>
          <t>Trailing actual.</t>
        </is>
      </c>
    </row>
    <row r="52" ht="42" customHeight="1">
      <c r="A52" t="inlineStr">
        <is>
          <t>CIP tax-rate shift ratio (COM/RES), held constant</t>
        </is>
      </c>
      <c r="B52" s="18" t="n">
        <v>1.650874339162261</v>
      </c>
      <c r="C52" t="inlineStr">
        <is>
          <t>x</t>
        </is>
      </c>
      <c r="D52" s="12" t="inlineStr">
        <is>
          <t>Brookline's FY2026 shift is 1.746 - 99.8% of the M.G.L. c.40 §56 statutory ceiling of 1.75. Held constant through FY2040 (no legal room to shift further) - see README, 2026-09-01 CIP fix.</t>
        </is>
      </c>
    </row>
    <row r="53">
      <c r="A53" s="14" t="inlineStr">
        <is>
          <t>These four feed res_tax_rate(year)/com_tax_rate(year), used ONLY to translate Phase 2's new-growth $ into the implied physical unit/sqft columns shown as cited values on the New Growth Scenarios tab - they do not affect any $ total in this workbook.</t>
        </is>
      </c>
    </row>
  </sheetData>
  <mergeCells count="2">
    <mergeCell ref="A1:D1"/>
    <mergeCell ref="A3:D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44"/>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46"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Phase 1 — Baseline Revenue Forecast, FY2026-2040</t>
        </is>
      </c>
    </row>
    <row r="2"/>
    <row r="3" ht="28" customHeight="1">
      <c r="A3" s="2" t="inlineStr">
        <is>
          <t>Tan = editable input. Green = key live-formula output. Grey = cited/computed value (a bespoke sub-model pulled from the already-validated Python output, not re-derived - see Guide tab). White = an intermediate live formula.</t>
        </is>
      </c>
    </row>
    <row r="4"/>
    <row r="5">
      <c r="A5" s="9" t="inlineStr">
        <is>
          <t>Fiscal year (number)</t>
        </is>
      </c>
      <c r="C5" t="n">
        <v>2026</v>
      </c>
      <c r="D5" t="n">
        <v>2027</v>
      </c>
      <c r="E5" t="n">
        <v>2028</v>
      </c>
      <c r="F5" t="n">
        <v>2029</v>
      </c>
      <c r="G5" t="n">
        <v>2030</v>
      </c>
      <c r="H5" t="n">
        <v>2031</v>
      </c>
      <c r="I5" t="n">
        <v>2032</v>
      </c>
      <c r="J5" t="n">
        <v>2033</v>
      </c>
      <c r="K5" t="n">
        <v>2034</v>
      </c>
      <c r="L5" t="n">
        <v>2035</v>
      </c>
      <c r="M5" t="n">
        <v>2036</v>
      </c>
      <c r="N5" t="n">
        <v>2037</v>
      </c>
      <c r="O5" t="n">
        <v>2038</v>
      </c>
      <c r="P5" t="n">
        <v>2039</v>
      </c>
      <c r="Q5" t="n">
        <v>2040</v>
      </c>
    </row>
    <row r="6"/>
    <row r="7">
      <c r="A7" s="3" t="inlineStr">
        <is>
          <t>Shared inputs (identical across both scenarios)</t>
        </is>
      </c>
    </row>
    <row r="8">
      <c r="A8" s="19" t="inlineStr">
        <is>
          <t>Town LRFP: Annual Levy, pre-override (input)</t>
        </is>
      </c>
      <c r="C8" s="20" t="n">
        <v>332554581</v>
      </c>
      <c r="D8" s="20" t="n">
        <v>349452499</v>
      </c>
      <c r="E8" s="20" t="n">
        <v>360438187</v>
      </c>
      <c r="F8" s="20" t="n">
        <v>371761674</v>
      </c>
      <c r="G8" s="20" t="n">
        <v>382631951</v>
      </c>
      <c r="H8" s="20" t="n">
        <v>393779676</v>
      </c>
    </row>
    <row r="9">
      <c r="A9" s="19" t="inlineStr">
        <is>
          <t>Town LRFP: Debt Exclusion (input)</t>
        </is>
      </c>
      <c r="C9" s="20" t="n">
        <v>28596860</v>
      </c>
      <c r="D9" s="20" t="n">
        <v>35379833</v>
      </c>
      <c r="E9" s="20" t="n">
        <v>36013706</v>
      </c>
      <c r="F9" s="20" t="n">
        <v>36726580</v>
      </c>
      <c r="G9" s="20" t="n">
        <v>36720980</v>
      </c>
      <c r="H9" s="20" t="n">
        <v>36720930</v>
      </c>
    </row>
    <row r="10">
      <c r="A10" s="9" t="inlineStr">
        <is>
          <t>Town LRFP: Levy limit (= Annual Levy − Debt Excl.)</t>
        </is>
      </c>
      <c r="C10" s="7">
        <f>C8-C9</f>
        <v/>
      </c>
      <c r="D10" s="7">
        <f>D8-D9</f>
        <v/>
      </c>
      <c r="E10" s="7">
        <f>E8-E9</f>
        <v/>
      </c>
      <c r="F10" s="7">
        <f>F8-F9</f>
        <v/>
      </c>
      <c r="G10" s="7">
        <f>G8-G9</f>
        <v/>
      </c>
      <c r="H10" s="7">
        <f>H8-H9</f>
        <v/>
      </c>
    </row>
    <row r="11">
      <c r="A11" s="9" t="inlineStr">
        <is>
          <t>May 2026 override, cumulative compounded</t>
        </is>
      </c>
      <c r="C11" s="7" t="n">
        <v>0</v>
      </c>
      <c r="D11" s="7">
        <f>C11*1.025+Assumptions!$B$15</f>
        <v/>
      </c>
      <c r="E11" s="7">
        <f>D11*1.025+Assumptions!$B$16</f>
        <v/>
      </c>
      <c r="F11" s="7">
        <f>E11*1.025+Assumptions!$B$17</f>
        <v/>
      </c>
      <c r="G11" s="7">
        <f>F11*1.025</f>
        <v/>
      </c>
      <c r="H11" s="7">
        <f>G11*1.025</f>
        <v/>
      </c>
    </row>
    <row r="12">
      <c r="A12" s="8" t="inlineStr">
        <is>
          <t>Levy-limit-with-override (feeds both scenarios' recursion)</t>
        </is>
      </c>
      <c r="C12" s="7">
        <f>C10+C11</f>
        <v/>
      </c>
      <c r="D12" s="7">
        <f>D10+D11</f>
        <v/>
      </c>
      <c r="E12" s="7">
        <f>E10+E11</f>
        <v/>
      </c>
      <c r="F12" s="7">
        <f>F10+F11</f>
        <v/>
      </c>
      <c r="G12" s="7">
        <f>G10+G11</f>
        <v/>
      </c>
      <c r="H12" s="7">
        <f>H10+H11</f>
        <v/>
      </c>
    </row>
    <row r="13">
      <c r="A13" s="8" t="inlineStr">
        <is>
          <t>DEBT EXCLUSION REVENUE</t>
        </is>
      </c>
      <c r="C13" s="7">
        <f>C9</f>
        <v/>
      </c>
      <c r="D13" s="7">
        <f>D9</f>
        <v/>
      </c>
      <c r="E13" s="7">
        <f>E9</f>
        <v/>
      </c>
      <c r="F13" s="7">
        <f>F9</f>
        <v/>
      </c>
      <c r="G13" s="7">
        <f>G9</f>
        <v/>
      </c>
      <c r="H13" s="7">
        <f>H9</f>
        <v/>
      </c>
      <c r="I13" s="7">
        <f>H13</f>
        <v/>
      </c>
      <c r="J13" s="7">
        <f>I13</f>
        <v/>
      </c>
      <c r="K13" s="7">
        <f>J13</f>
        <v/>
      </c>
      <c r="L13" s="7">
        <f>K13</f>
        <v/>
      </c>
      <c r="M13" s="7">
        <f>L13</f>
        <v/>
      </c>
      <c r="N13" s="7">
        <f>M13</f>
        <v/>
      </c>
      <c r="O13" s="7">
        <f>N13</f>
        <v/>
      </c>
      <c r="P13" s="7">
        <f>O13</f>
        <v/>
      </c>
      <c r="Q13" s="7">
        <f>P13</f>
        <v/>
      </c>
    </row>
    <row r="14">
      <c r="A14" s="19" t="inlineStr">
        <is>
          <t>Town LRFP: State Aid (input)</t>
        </is>
      </c>
      <c r="C14" s="20" t="n">
        <v>25915570</v>
      </c>
      <c r="D14" s="20" t="n">
        <v>26438368</v>
      </c>
      <c r="E14" s="20" t="n">
        <v>27091499</v>
      </c>
      <c r="F14" s="20" t="n">
        <v>27760959</v>
      </c>
      <c r="G14" s="20" t="n">
        <v>28447155</v>
      </c>
      <c r="H14" s="20" t="n">
        <v>29150506</v>
      </c>
    </row>
    <row r="15">
      <c r="A15" s="19" t="inlineStr">
        <is>
          <t>Town LRFP: Local Receipts (input)</t>
        </is>
      </c>
      <c r="C15" s="20" t="n">
        <v>34886166</v>
      </c>
      <c r="D15" s="20" t="n">
        <v>36378878</v>
      </c>
      <c r="E15" s="20" t="n">
        <v>36993024</v>
      </c>
      <c r="F15" s="20" t="n">
        <v>37567018</v>
      </c>
      <c r="G15" s="20" t="n">
        <v>38156309</v>
      </c>
      <c r="H15" s="20" t="n">
        <v>38547570</v>
      </c>
    </row>
    <row r="16">
      <c r="A16" s="6" t="inlineStr">
        <is>
          <t>Other Available Funds (Town LRFP; FY2027 adopted; FY2028-30 + Override Stabilization Fund draw)</t>
        </is>
      </c>
      <c r="C16" s="7" t="n">
        <v>4948498</v>
      </c>
      <c r="D16" s="7" t="n">
        <v>8755561</v>
      </c>
      <c r="E16" s="7" t="n">
        <v>5895494</v>
      </c>
      <c r="F16" s="7" t="n">
        <v>6079587</v>
      </c>
      <c r="G16" s="7" t="n">
        <v>6327824</v>
      </c>
      <c r="H16" s="7" t="n">
        <v>4311795</v>
      </c>
      <c r="I16" s="7">
        <f>H16</f>
        <v/>
      </c>
      <c r="J16" s="7">
        <f>I16</f>
        <v/>
      </c>
      <c r="K16" s="7">
        <f>J16</f>
        <v/>
      </c>
      <c r="L16" s="7">
        <f>K16</f>
        <v/>
      </c>
      <c r="M16" s="7">
        <f>L16</f>
        <v/>
      </c>
      <c r="N16" s="7">
        <f>M16</f>
        <v/>
      </c>
      <c r="O16" s="7">
        <f>N16</f>
        <v/>
      </c>
      <c r="P16" s="7">
        <f>O16</f>
        <v/>
      </c>
      <c r="Q16" s="7">
        <f>P16</f>
        <v/>
      </c>
    </row>
    <row r="17"/>
    <row r="18">
      <c r="A18" s="3" t="inlineStr">
        <is>
          <t>Scenario: town_assumptions</t>
        </is>
      </c>
    </row>
    <row r="19">
      <c r="A19" s="9" t="inlineStr">
        <is>
          <t>CHCA property tax (cumulative level, RKG scenario)</t>
        </is>
      </c>
      <c r="C19" s="7">
        <f>IF(C5&lt;2032,0,IF(C5&gt;=2035,Assumptions!$B$24,Assumptions!$B$24*(C5-2032+1)/3))</f>
        <v/>
      </c>
      <c r="D19" s="7">
        <f>IF(D5&lt;2032,0,IF(D5&gt;=2035,Assumptions!$B$24,Assumptions!$B$24*(D5-2032+1)/3))</f>
        <v/>
      </c>
      <c r="E19" s="7">
        <f>IF(E5&lt;2032,0,IF(E5&gt;=2035,Assumptions!$B$24,Assumptions!$B$24*(E5-2032+1)/3))</f>
        <v/>
      </c>
      <c r="F19" s="7">
        <f>IF(F5&lt;2032,0,IF(F5&gt;=2035,Assumptions!$B$24,Assumptions!$B$24*(F5-2032+1)/3))</f>
        <v/>
      </c>
      <c r="G19" s="7">
        <f>IF(G5&lt;2032,0,IF(G5&gt;=2035,Assumptions!$B$24,Assumptions!$B$24*(G5-2032+1)/3))</f>
        <v/>
      </c>
      <c r="H19" s="7">
        <f>IF(H5&lt;2032,0,IF(H5&gt;=2035,Assumptions!$B$24,Assumptions!$B$24*(H5-2032+1)/3))</f>
        <v/>
      </c>
      <c r="I19" s="7">
        <f>IF(I5&lt;2032,0,IF(I5&gt;=2035,Assumptions!$B$24,Assumptions!$B$24*(I5-2032+1)/3))</f>
        <v/>
      </c>
      <c r="J19" s="7">
        <f>IF(J5&lt;2032,0,IF(J5&gt;=2035,Assumptions!$B$24,Assumptions!$B$24*(J5-2032+1)/3))</f>
        <v/>
      </c>
      <c r="K19" s="7">
        <f>IF(K5&lt;2032,0,IF(K5&gt;=2035,Assumptions!$B$24,Assumptions!$B$24*(K5-2032+1)/3))</f>
        <v/>
      </c>
      <c r="L19" s="7">
        <f>IF(L5&lt;2032,0,IF(L5&gt;=2035,Assumptions!$B$24,Assumptions!$B$24*(L5-2032+1)/3))</f>
        <v/>
      </c>
      <c r="M19" s="7">
        <f>IF(M5&lt;2032,0,IF(M5&gt;=2035,Assumptions!$B$24,Assumptions!$B$24*(M5-2032+1)/3))</f>
        <v/>
      </c>
      <c r="N19" s="7">
        <f>IF(N5&lt;2032,0,IF(N5&gt;=2035,Assumptions!$B$24,Assumptions!$B$24*(N5-2032+1)/3))</f>
        <v/>
      </c>
      <c r="O19" s="7">
        <f>IF(O5&lt;2032,0,IF(O5&gt;=2035,Assumptions!$B$24,Assumptions!$B$24*(O5-2032+1)/3))</f>
        <v/>
      </c>
      <c r="P19" s="7">
        <f>IF(P5&lt;2032,0,IF(P5&gt;=2035,Assumptions!$B$24,Assumptions!$B$24*(P5-2032+1)/3))</f>
        <v/>
      </c>
      <c r="Q19" s="7">
        <f>IF(Q5&lt;2032,0,IF(Q5&gt;=2035,Assumptions!$B$24,Assumptions!$B$24*(Q5-2032+1)/3))</f>
        <v/>
      </c>
    </row>
    <row r="20">
      <c r="A20" s="9" t="inlineStr">
        <is>
          <t>CHCA local receipts (cumulative level, RKG scenario)</t>
        </is>
      </c>
      <c r="C20" s="7">
        <f>IF(C5&lt;2032,0,IF(C5&gt;=2035,Assumptions!$B$25,Assumptions!$B$25*(C5-2032+1)/3))</f>
        <v/>
      </c>
      <c r="D20" s="7">
        <f>IF(D5&lt;2032,0,IF(D5&gt;=2035,Assumptions!$B$25,Assumptions!$B$25*(D5-2032+1)/3))</f>
        <v/>
      </c>
      <c r="E20" s="7">
        <f>IF(E5&lt;2032,0,IF(E5&gt;=2035,Assumptions!$B$25,Assumptions!$B$25*(E5-2032+1)/3))</f>
        <v/>
      </c>
      <c r="F20" s="7">
        <f>IF(F5&lt;2032,0,IF(F5&gt;=2035,Assumptions!$B$25,Assumptions!$B$25*(F5-2032+1)/3))</f>
        <v/>
      </c>
      <c r="G20" s="7">
        <f>IF(G5&lt;2032,0,IF(G5&gt;=2035,Assumptions!$B$25,Assumptions!$B$25*(G5-2032+1)/3))</f>
        <v/>
      </c>
      <c r="H20" s="7">
        <f>IF(H5&lt;2032,0,IF(H5&gt;=2035,Assumptions!$B$25,Assumptions!$B$25*(H5-2032+1)/3))</f>
        <v/>
      </c>
      <c r="I20" s="7">
        <f>IF(I5&lt;2032,0,IF(I5&gt;=2035,Assumptions!$B$25,Assumptions!$B$25*(I5-2032+1)/3))</f>
        <v/>
      </c>
      <c r="J20" s="7">
        <f>IF(J5&lt;2032,0,IF(J5&gt;=2035,Assumptions!$B$25,Assumptions!$B$25*(J5-2032+1)/3))</f>
        <v/>
      </c>
      <c r="K20" s="7">
        <f>IF(K5&lt;2032,0,IF(K5&gt;=2035,Assumptions!$B$25,Assumptions!$B$25*(K5-2032+1)/3))</f>
        <v/>
      </c>
      <c r="L20" s="7">
        <f>IF(L5&lt;2032,0,IF(L5&gt;=2035,Assumptions!$B$25,Assumptions!$B$25*(L5-2032+1)/3))</f>
        <v/>
      </c>
      <c r="M20" s="7">
        <f>IF(M5&lt;2032,0,IF(M5&gt;=2035,Assumptions!$B$25,Assumptions!$B$25*(M5-2032+1)/3))</f>
        <v/>
      </c>
      <c r="N20" s="7">
        <f>IF(N5&lt;2032,0,IF(N5&gt;=2035,Assumptions!$B$25,Assumptions!$B$25*(N5-2032+1)/3))</f>
        <v/>
      </c>
      <c r="O20" s="7">
        <f>IF(O5&lt;2032,0,IF(O5&gt;=2035,Assumptions!$B$25,Assumptions!$B$25*(O5-2032+1)/3))</f>
        <v/>
      </c>
      <c r="P20" s="7">
        <f>IF(P5&lt;2032,0,IF(P5&gt;=2035,Assumptions!$B$25,Assumptions!$B$25*(P5-2032+1)/3))</f>
        <v/>
      </c>
      <c r="Q20" s="7">
        <f>IF(Q5&lt;2032,0,IF(Q5&gt;=2035,Assumptions!$B$25,Assumptions!$B$25*(Q5-2032+1)/3))</f>
        <v/>
      </c>
    </row>
    <row r="21">
      <c r="A21" s="9" t="inlineStr">
        <is>
          <t>CHCA property tax increment (feeds recursion)</t>
        </is>
      </c>
      <c r="C21" s="7">
        <f>C19-0</f>
        <v/>
      </c>
      <c r="D21" s="7">
        <f>D19-C19</f>
        <v/>
      </c>
      <c r="E21" s="7">
        <f>E19-D19</f>
        <v/>
      </c>
      <c r="F21" s="7">
        <f>F19-E19</f>
        <v/>
      </c>
      <c r="G21" s="7">
        <f>G19-F19</f>
        <v/>
      </c>
      <c r="H21" s="7">
        <f>H19-G19</f>
        <v/>
      </c>
      <c r="I21" s="7">
        <f>I19-H19</f>
        <v/>
      </c>
      <c r="J21" s="7">
        <f>J19-I19</f>
        <v/>
      </c>
      <c r="K21" s="7">
        <f>K19-J19</f>
        <v/>
      </c>
      <c r="L21" s="7">
        <f>L19-K19</f>
        <v/>
      </c>
      <c r="M21" s="7">
        <f>M19-L19</f>
        <v/>
      </c>
      <c r="N21" s="7">
        <f>N19-M19</f>
        <v/>
      </c>
      <c r="O21" s="7">
        <f>O19-N19</f>
        <v/>
      </c>
      <c r="P21" s="7">
        <f>P19-O19</f>
        <v/>
      </c>
      <c r="Q21" s="7">
        <f>Q19-P19</f>
        <v/>
      </c>
    </row>
    <row r="22">
      <c r="A22" s="9" t="inlineStr">
        <is>
          <t>CHCA local receipts increment (feeds recursion)</t>
        </is>
      </c>
      <c r="C22" s="7">
        <f>C20-0</f>
        <v/>
      </c>
      <c r="D22" s="7">
        <f>D20-C20</f>
        <v/>
      </c>
      <c r="E22" s="7">
        <f>E20-D20</f>
        <v/>
      </c>
      <c r="F22" s="7">
        <f>F20-E20</f>
        <v/>
      </c>
      <c r="G22" s="7">
        <f>G20-F20</f>
        <v/>
      </c>
      <c r="H22" s="7">
        <f>H20-G20</f>
        <v/>
      </c>
      <c r="I22" s="7">
        <f>I20-H20</f>
        <v/>
      </c>
      <c r="J22" s="7">
        <f>J20-I20</f>
        <v/>
      </c>
      <c r="K22" s="7">
        <f>K20-J20</f>
        <v/>
      </c>
      <c r="L22" s="7">
        <f>L20-K20</f>
        <v/>
      </c>
      <c r="M22" s="7">
        <f>M20-L20</f>
        <v/>
      </c>
      <c r="N22" s="7">
        <f>N20-M20</f>
        <v/>
      </c>
      <c r="O22" s="7">
        <f>O20-N20</f>
        <v/>
      </c>
      <c r="P22" s="7">
        <f>P20-O20</f>
        <v/>
      </c>
      <c r="Q22" s="7">
        <f>Q20-P20</f>
        <v/>
      </c>
    </row>
    <row r="23">
      <c r="A23" s="8" t="inlineStr">
        <is>
          <t>PROPERTY TAX OPERATING (levy limit)</t>
        </is>
      </c>
      <c r="C23" s="7">
        <f>C12+C19</f>
        <v/>
      </c>
      <c r="D23" s="7">
        <f>D12+D19</f>
        <v/>
      </c>
      <c r="E23" s="7">
        <f>E12+E19</f>
        <v/>
      </c>
      <c r="F23" s="7">
        <f>F12+F19</f>
        <v/>
      </c>
      <c r="G23" s="7">
        <f>G12+G19</f>
        <v/>
      </c>
      <c r="H23" s="7">
        <f>H12+H19</f>
        <v/>
      </c>
      <c r="I23" s="7">
        <f>H23*1.025+Assumptions!$B$11+I21</f>
        <v/>
      </c>
      <c r="J23" s="7">
        <f>I23*1.025+Assumptions!$B$11+J21</f>
        <v/>
      </c>
      <c r="K23" s="7">
        <f>J23*1.025+Assumptions!$B$11+K21</f>
        <v/>
      </c>
      <c r="L23" s="7">
        <f>K23*1.025+Assumptions!$B$11+L21</f>
        <v/>
      </c>
      <c r="M23" s="7">
        <f>L23*1.025+Assumptions!$B$11+M21</f>
        <v/>
      </c>
      <c r="N23" s="7">
        <f>M23*1.025+Assumptions!$B$11+N21</f>
        <v/>
      </c>
      <c r="O23" s="7">
        <f>N23*1.025+Assumptions!$B$11+O21</f>
        <v/>
      </c>
      <c r="P23" s="7">
        <f>O23*1.025+Assumptions!$B$11+P21</f>
        <v/>
      </c>
      <c r="Q23" s="7">
        <f>P23*1.025+Assumptions!$B$11+Q21</f>
        <v/>
      </c>
    </row>
    <row r="24">
      <c r="A24" s="8" t="inlineStr">
        <is>
          <t>PROPERTY TAXES (operating + debt exclusion)</t>
        </is>
      </c>
      <c r="C24" s="7">
        <f>C23+C13</f>
        <v/>
      </c>
      <c r="D24" s="7">
        <f>D23+D13</f>
        <v/>
      </c>
      <c r="E24" s="7">
        <f>E23+E13</f>
        <v/>
      </c>
      <c r="F24" s="7">
        <f>F23+F13</f>
        <v/>
      </c>
      <c r="G24" s="7">
        <f>G23+G13</f>
        <v/>
      </c>
      <c r="H24" s="7">
        <f>H23+H13</f>
        <v/>
      </c>
      <c r="I24" s="7">
        <f>I23+I13</f>
        <v/>
      </c>
      <c r="J24" s="7">
        <f>J23+J13</f>
        <v/>
      </c>
      <c r="K24" s="7">
        <f>K23+K13</f>
        <v/>
      </c>
      <c r="L24" s="7">
        <f>L23+L13</f>
        <v/>
      </c>
      <c r="M24" s="7">
        <f>M23+M13</f>
        <v/>
      </c>
      <c r="N24" s="7">
        <f>N23+N13</f>
        <v/>
      </c>
      <c r="O24" s="7">
        <f>O23+O13</f>
        <v/>
      </c>
      <c r="P24" s="7">
        <f>P23+P13</f>
        <v/>
      </c>
      <c r="Q24" s="7">
        <f>Q23+Q13</f>
        <v/>
      </c>
    </row>
    <row r="25">
      <c r="A25" s="9" t="inlineStr">
        <is>
          <t>State Aid</t>
        </is>
      </c>
      <c r="C25" s="7">
        <f>C14</f>
        <v/>
      </c>
      <c r="D25" s="7">
        <f>D14</f>
        <v/>
      </c>
      <c r="E25" s="7">
        <f>E14</f>
        <v/>
      </c>
      <c r="F25" s="7">
        <f>F14</f>
        <v/>
      </c>
      <c r="G25" s="7">
        <f>G14</f>
        <v/>
      </c>
      <c r="H25" s="7">
        <f>H14</f>
        <v/>
      </c>
      <c r="I25" s="7">
        <f>H25*(1+((29150506.0/25915570.0)^(1/5)-1))</f>
        <v/>
      </c>
      <c r="J25" s="7">
        <f>I25*(1+((29150506.0/25915570.0)^(1/5)-1))</f>
        <v/>
      </c>
      <c r="K25" s="7">
        <f>J25*(1+((29150506.0/25915570.0)^(1/5)-1))</f>
        <v/>
      </c>
      <c r="L25" s="7">
        <f>K25*(1+((29150506.0/25915570.0)^(1/5)-1))</f>
        <v/>
      </c>
      <c r="M25" s="7">
        <f>L25*(1+((29150506.0/25915570.0)^(1/5)-1))</f>
        <v/>
      </c>
      <c r="N25" s="7">
        <f>M25*(1+((29150506.0/25915570.0)^(1/5)-1))</f>
        <v/>
      </c>
      <c r="O25" s="7">
        <f>N25*(1+((29150506.0/25915570.0)^(1/5)-1))</f>
        <v/>
      </c>
      <c r="P25" s="7">
        <f>O25*(1+((29150506.0/25915570.0)^(1/5)-1))</f>
        <v/>
      </c>
      <c r="Q25" s="7">
        <f>P25*(1+((29150506.0/25915570.0)^(1/5)-1))</f>
        <v/>
      </c>
    </row>
    <row r="26">
      <c r="A26" s="9" t="inlineStr">
        <is>
          <t>Local Receipts</t>
        </is>
      </c>
      <c r="C26" s="7">
        <f>C15+C20</f>
        <v/>
      </c>
      <c r="D26" s="7">
        <f>D15+D20</f>
        <v/>
      </c>
      <c r="E26" s="7">
        <f>E15+E20</f>
        <v/>
      </c>
      <c r="F26" s="7">
        <f>F15+F20</f>
        <v/>
      </c>
      <c r="G26" s="7">
        <f>G15+G20</f>
        <v/>
      </c>
      <c r="H26" s="7">
        <f>H15+H20</f>
        <v/>
      </c>
      <c r="I26" s="7">
        <f>H26*(1+((38547570.0/34886166.0)^(1/5)-1))+I22</f>
        <v/>
      </c>
      <c r="J26" s="7">
        <f>I26*(1+((38547570.0/34886166.0)^(1/5)-1))+J22</f>
        <v/>
      </c>
      <c r="K26" s="7">
        <f>J26*(1+((38547570.0/34886166.0)^(1/5)-1))+K22</f>
        <v/>
      </c>
      <c r="L26" s="7">
        <f>K26*(1+((38547570.0/34886166.0)^(1/5)-1))+L22</f>
        <v/>
      </c>
      <c r="M26" s="7">
        <f>L26*(1+((38547570.0/34886166.0)^(1/5)-1))+M22</f>
        <v/>
      </c>
      <c r="N26" s="7">
        <f>M26*(1+((38547570.0/34886166.0)^(1/5)-1))+N22</f>
        <v/>
      </c>
      <c r="O26" s="7">
        <f>N26*(1+((38547570.0/34886166.0)^(1/5)-1))+O22</f>
        <v/>
      </c>
      <c r="P26" s="7">
        <f>O26*(1+((38547570.0/34886166.0)^(1/5)-1))+P22</f>
        <v/>
      </c>
      <c r="Q26" s="7">
        <f>P26*(1+((38547570.0/34886166.0)^(1/5)-1))+Q22</f>
        <v/>
      </c>
    </row>
    <row r="27">
      <c r="A27" s="6" t="inlineStr">
        <is>
          <t>Free Cash (cited - Town LRFP, or the two-year cash cycle for trend; revenue_cash_cycle.py)</t>
        </is>
      </c>
      <c r="C27" s="7" t="n">
        <v>21303316</v>
      </c>
      <c r="D27" s="7" t="n">
        <v>20200000</v>
      </c>
      <c r="E27" s="7" t="n">
        <v>20967559</v>
      </c>
      <c r="F27" s="7" t="n">
        <v>21849267</v>
      </c>
      <c r="G27" s="7" t="n">
        <v>22511258</v>
      </c>
      <c r="H27" s="7" t="n">
        <v>23192931</v>
      </c>
      <c r="I27" s="7" t="n">
        <v>23192931</v>
      </c>
      <c r="J27" s="7" t="n">
        <v>23192931</v>
      </c>
      <c r="K27" s="7" t="n">
        <v>23192931</v>
      </c>
      <c r="L27" s="7" t="n">
        <v>23192931</v>
      </c>
      <c r="M27" s="7" t="n">
        <v>23192931</v>
      </c>
      <c r="N27" s="7" t="n">
        <v>23192931</v>
      </c>
      <c r="O27" s="7" t="n">
        <v>23192931</v>
      </c>
      <c r="P27" s="7" t="n">
        <v>23192931</v>
      </c>
      <c r="Q27" s="7" t="n">
        <v>23192931</v>
      </c>
    </row>
    <row r="28">
      <c r="A28" s="8" t="inlineStr">
        <is>
          <t>TOTAL REVENUE</t>
        </is>
      </c>
      <c r="C28" s="7">
        <f>C24+C25+C26+C16+C27</f>
        <v/>
      </c>
      <c r="D28" s="7">
        <f>D24+D25+D26+D16+D27</f>
        <v/>
      </c>
      <c r="E28" s="7">
        <f>E24+E25+E26+E16+E27</f>
        <v/>
      </c>
      <c r="F28" s="7">
        <f>F24+F25+F26+F16+F27</f>
        <v/>
      </c>
      <c r="G28" s="7">
        <f>G24+G25+G26+G16+G27</f>
        <v/>
      </c>
      <c r="H28" s="7">
        <f>H24+H25+H26+H16+H27</f>
        <v/>
      </c>
      <c r="I28" s="7">
        <f>I24+I25+I26+I16+I27</f>
        <v/>
      </c>
      <c r="J28" s="7">
        <f>J24+J25+J26+J16+J27</f>
        <v/>
      </c>
      <c r="K28" s="7">
        <f>K24+K25+K26+K16+K27</f>
        <v/>
      </c>
      <c r="L28" s="7">
        <f>L24+L25+L26+L16+L27</f>
        <v/>
      </c>
      <c r="M28" s="7">
        <f>M24+M25+M26+M16+M27</f>
        <v/>
      </c>
      <c r="N28" s="7">
        <f>N24+N25+N26+N16+N27</f>
        <v/>
      </c>
      <c r="O28" s="7">
        <f>O24+O25+O26+O16+O27</f>
        <v/>
      </c>
      <c r="P28" s="7">
        <f>P24+P25+P26+P16+P27</f>
        <v/>
      </c>
      <c r="Q28" s="7">
        <f>Q24+Q25+Q26+Q16+Q27</f>
        <v/>
      </c>
    </row>
    <row r="29">
      <c r="A29" s="9" t="inlineStr">
        <is>
          <t>Check vs. Python model (should be ~$0)</t>
        </is>
      </c>
      <c r="C29" s="7">
        <f>C28-419608131.0</f>
        <v/>
      </c>
      <c r="D29" s="7">
        <f>D28-451077636.0</f>
        <v/>
      </c>
      <c r="E29" s="7">
        <f>E28-467087273.0</f>
        <v/>
      </c>
      <c r="F29" s="7">
        <f>F28-488911790.0</f>
        <v/>
      </c>
      <c r="G29" s="7">
        <f>G28-502565114.0</f>
        <v/>
      </c>
      <c r="H29" s="7">
        <f>H28-514085361.0</f>
        <v/>
      </c>
      <c r="I29" s="7">
        <f>I28-528823347.0</f>
        <v/>
      </c>
      <c r="J29" s="7">
        <f>J28-543924418.0</f>
        <v/>
      </c>
      <c r="K29" s="7">
        <f>K28-559397540.0</f>
        <v/>
      </c>
      <c r="L29" s="7">
        <f>L28-574039031.0</f>
        <v/>
      </c>
      <c r="M29" s="7">
        <f>M28-589041627.0</f>
        <v/>
      </c>
      <c r="N29" s="7">
        <f>N28-604414256.0</f>
        <v/>
      </c>
      <c r="O29" s="7">
        <f>O28-620166062.0</f>
        <v/>
      </c>
      <c r="P29" s="7">
        <f>P28-636306418.0</f>
        <v/>
      </c>
      <c r="Q29" s="7">
        <f>Q28-652844929.0</f>
        <v/>
      </c>
    </row>
    <row r="30"/>
    <row r="31"/>
    <row r="32">
      <c r="A32" s="3" t="inlineStr">
        <is>
          <t>Scenario: trend_corrected</t>
        </is>
      </c>
    </row>
    <row r="33">
      <c r="A33" s="9" t="inlineStr">
        <is>
          <t>CHCA property tax (cumulative level, RKG scenario)</t>
        </is>
      </c>
      <c r="C33" s="7">
        <f>IF(C5&lt;2032,0,IF(C5&gt;=2035,Assumptions!$B$24,Assumptions!$B$24*(C5-2032+1)/3))</f>
        <v/>
      </c>
      <c r="D33" s="7">
        <f>IF(D5&lt;2032,0,IF(D5&gt;=2035,Assumptions!$B$24,Assumptions!$B$24*(D5-2032+1)/3))</f>
        <v/>
      </c>
      <c r="E33" s="7">
        <f>IF(E5&lt;2032,0,IF(E5&gt;=2035,Assumptions!$B$24,Assumptions!$B$24*(E5-2032+1)/3))</f>
        <v/>
      </c>
      <c r="F33" s="7">
        <f>IF(F5&lt;2032,0,IF(F5&gt;=2035,Assumptions!$B$24,Assumptions!$B$24*(F5-2032+1)/3))</f>
        <v/>
      </c>
      <c r="G33" s="7">
        <f>IF(G5&lt;2032,0,IF(G5&gt;=2035,Assumptions!$B$24,Assumptions!$B$24*(G5-2032+1)/3))</f>
        <v/>
      </c>
      <c r="H33" s="7">
        <f>IF(H5&lt;2032,0,IF(H5&gt;=2035,Assumptions!$B$24,Assumptions!$B$24*(H5-2032+1)/3))</f>
        <v/>
      </c>
      <c r="I33" s="7">
        <f>IF(I5&lt;2032,0,IF(I5&gt;=2035,Assumptions!$B$24,Assumptions!$B$24*(I5-2032+1)/3))</f>
        <v/>
      </c>
      <c r="J33" s="7">
        <f>IF(J5&lt;2032,0,IF(J5&gt;=2035,Assumptions!$B$24,Assumptions!$B$24*(J5-2032+1)/3))</f>
        <v/>
      </c>
      <c r="K33" s="7">
        <f>IF(K5&lt;2032,0,IF(K5&gt;=2035,Assumptions!$B$24,Assumptions!$B$24*(K5-2032+1)/3))</f>
        <v/>
      </c>
      <c r="L33" s="7">
        <f>IF(L5&lt;2032,0,IF(L5&gt;=2035,Assumptions!$B$24,Assumptions!$B$24*(L5-2032+1)/3))</f>
        <v/>
      </c>
      <c r="M33" s="7">
        <f>IF(M5&lt;2032,0,IF(M5&gt;=2035,Assumptions!$B$24,Assumptions!$B$24*(M5-2032+1)/3))</f>
        <v/>
      </c>
      <c r="N33" s="7">
        <f>IF(N5&lt;2032,0,IF(N5&gt;=2035,Assumptions!$B$24,Assumptions!$B$24*(N5-2032+1)/3))</f>
        <v/>
      </c>
      <c r="O33" s="7">
        <f>IF(O5&lt;2032,0,IF(O5&gt;=2035,Assumptions!$B$24,Assumptions!$B$24*(O5-2032+1)/3))</f>
        <v/>
      </c>
      <c r="P33" s="7">
        <f>IF(P5&lt;2032,0,IF(P5&gt;=2035,Assumptions!$B$24,Assumptions!$B$24*(P5-2032+1)/3))</f>
        <v/>
      </c>
      <c r="Q33" s="7">
        <f>IF(Q5&lt;2032,0,IF(Q5&gt;=2035,Assumptions!$B$24,Assumptions!$B$24*(Q5-2032+1)/3))</f>
        <v/>
      </c>
    </row>
    <row r="34">
      <c r="A34" s="9" t="inlineStr">
        <is>
          <t>CHCA local receipts (cumulative level, RKG scenario)</t>
        </is>
      </c>
      <c r="C34" s="7">
        <f>IF(C5&lt;2032,0,IF(C5&gt;=2035,Assumptions!$B$25,Assumptions!$B$25*(C5-2032+1)/3))</f>
        <v/>
      </c>
      <c r="D34" s="7">
        <f>IF(D5&lt;2032,0,IF(D5&gt;=2035,Assumptions!$B$25,Assumptions!$B$25*(D5-2032+1)/3))</f>
        <v/>
      </c>
      <c r="E34" s="7">
        <f>IF(E5&lt;2032,0,IF(E5&gt;=2035,Assumptions!$B$25,Assumptions!$B$25*(E5-2032+1)/3))</f>
        <v/>
      </c>
      <c r="F34" s="7">
        <f>IF(F5&lt;2032,0,IF(F5&gt;=2035,Assumptions!$B$25,Assumptions!$B$25*(F5-2032+1)/3))</f>
        <v/>
      </c>
      <c r="G34" s="7">
        <f>IF(G5&lt;2032,0,IF(G5&gt;=2035,Assumptions!$B$25,Assumptions!$B$25*(G5-2032+1)/3))</f>
        <v/>
      </c>
      <c r="H34" s="7">
        <f>IF(H5&lt;2032,0,IF(H5&gt;=2035,Assumptions!$B$25,Assumptions!$B$25*(H5-2032+1)/3))</f>
        <v/>
      </c>
      <c r="I34" s="7">
        <f>IF(I5&lt;2032,0,IF(I5&gt;=2035,Assumptions!$B$25,Assumptions!$B$25*(I5-2032+1)/3))</f>
        <v/>
      </c>
      <c r="J34" s="7">
        <f>IF(J5&lt;2032,0,IF(J5&gt;=2035,Assumptions!$B$25,Assumptions!$B$25*(J5-2032+1)/3))</f>
        <v/>
      </c>
      <c r="K34" s="7">
        <f>IF(K5&lt;2032,0,IF(K5&gt;=2035,Assumptions!$B$25,Assumptions!$B$25*(K5-2032+1)/3))</f>
        <v/>
      </c>
      <c r="L34" s="7">
        <f>IF(L5&lt;2032,0,IF(L5&gt;=2035,Assumptions!$B$25,Assumptions!$B$25*(L5-2032+1)/3))</f>
        <v/>
      </c>
      <c r="M34" s="7">
        <f>IF(M5&lt;2032,0,IF(M5&gt;=2035,Assumptions!$B$25,Assumptions!$B$25*(M5-2032+1)/3))</f>
        <v/>
      </c>
      <c r="N34" s="7">
        <f>IF(N5&lt;2032,0,IF(N5&gt;=2035,Assumptions!$B$25,Assumptions!$B$25*(N5-2032+1)/3))</f>
        <v/>
      </c>
      <c r="O34" s="7">
        <f>IF(O5&lt;2032,0,IF(O5&gt;=2035,Assumptions!$B$25,Assumptions!$B$25*(O5-2032+1)/3))</f>
        <v/>
      </c>
      <c r="P34" s="7">
        <f>IF(P5&lt;2032,0,IF(P5&gt;=2035,Assumptions!$B$25,Assumptions!$B$25*(P5-2032+1)/3))</f>
        <v/>
      </c>
      <c r="Q34" s="7">
        <f>IF(Q5&lt;2032,0,IF(Q5&gt;=2035,Assumptions!$B$25,Assumptions!$B$25*(Q5-2032+1)/3))</f>
        <v/>
      </c>
    </row>
    <row r="35">
      <c r="A35" s="9" t="inlineStr">
        <is>
          <t>CHCA property tax increment (feeds recursion)</t>
        </is>
      </c>
      <c r="C35" s="7">
        <f>C33-0</f>
        <v/>
      </c>
      <c r="D35" s="7">
        <f>D33-C33</f>
        <v/>
      </c>
      <c r="E35" s="7">
        <f>E33-D33</f>
        <v/>
      </c>
      <c r="F35" s="7">
        <f>F33-E33</f>
        <v/>
      </c>
      <c r="G35" s="7">
        <f>G33-F33</f>
        <v/>
      </c>
      <c r="H35" s="7">
        <f>H33-G33</f>
        <v/>
      </c>
      <c r="I35" s="7">
        <f>I33-H33</f>
        <v/>
      </c>
      <c r="J35" s="7">
        <f>J33-I33</f>
        <v/>
      </c>
      <c r="K35" s="7">
        <f>K33-J33</f>
        <v/>
      </c>
      <c r="L35" s="7">
        <f>L33-K33</f>
        <v/>
      </c>
      <c r="M35" s="7">
        <f>M33-L33</f>
        <v/>
      </c>
      <c r="N35" s="7">
        <f>N33-M33</f>
        <v/>
      </c>
      <c r="O35" s="7">
        <f>O33-N33</f>
        <v/>
      </c>
      <c r="P35" s="7">
        <f>P33-O33</f>
        <v/>
      </c>
      <c r="Q35" s="7">
        <f>Q33-P33</f>
        <v/>
      </c>
    </row>
    <row r="36">
      <c r="A36" s="9" t="inlineStr">
        <is>
          <t>CHCA local receipts increment (feeds recursion)</t>
        </is>
      </c>
      <c r="C36" s="7">
        <f>C34-0</f>
        <v/>
      </c>
      <c r="D36" s="7">
        <f>D34-C34</f>
        <v/>
      </c>
      <c r="E36" s="7">
        <f>E34-D34</f>
        <v/>
      </c>
      <c r="F36" s="7">
        <f>F34-E34</f>
        <v/>
      </c>
      <c r="G36" s="7">
        <f>G34-F34</f>
        <v/>
      </c>
      <c r="H36" s="7">
        <f>H34-G34</f>
        <v/>
      </c>
      <c r="I36" s="7">
        <f>I34-H34</f>
        <v/>
      </c>
      <c r="J36" s="7">
        <f>J34-I34</f>
        <v/>
      </c>
      <c r="K36" s="7">
        <f>K34-J34</f>
        <v/>
      </c>
      <c r="L36" s="7">
        <f>L34-K34</f>
        <v/>
      </c>
      <c r="M36" s="7">
        <f>M34-L34</f>
        <v/>
      </c>
      <c r="N36" s="7">
        <f>N34-M34</f>
        <v/>
      </c>
      <c r="O36" s="7">
        <f>O34-N34</f>
        <v/>
      </c>
      <c r="P36" s="7">
        <f>P34-O34</f>
        <v/>
      </c>
      <c r="Q36" s="7">
        <f>Q34-P34</f>
        <v/>
      </c>
    </row>
    <row r="37">
      <c r="A37" s="9" t="inlineStr">
        <is>
          <t>Diff: trend new-growth vs. Town's $2.5M/yr (delta method)</t>
        </is>
      </c>
      <c r="C37" s="7">
        <f>0*1.025+(Assumptions!$B$31*('Historical FY05-25'!W13-'Historical FY05-25'!W11)-Assumptions!$B$11)</f>
        <v/>
      </c>
      <c r="D37" s="7">
        <f>C37*1.025+(Assumptions!$B$31*(C12)-Assumptions!$B$11)</f>
        <v/>
      </c>
      <c r="E37" s="7">
        <f>D37*1.025+(Assumptions!$B$31*(D12)-Assumptions!$B$11)</f>
        <v/>
      </c>
      <c r="F37" s="7">
        <f>E37*1.025+(Assumptions!$B$31*(E12)-Assumptions!$B$11)</f>
        <v/>
      </c>
      <c r="G37" s="7">
        <f>F37*1.025+(Assumptions!$B$31*(F12)-Assumptions!$B$11)</f>
        <v/>
      </c>
      <c r="H37" s="7">
        <f>G37*1.025+(Assumptions!$B$31*(G12)-Assumptions!$B$11)</f>
        <v/>
      </c>
    </row>
    <row r="38">
      <c r="A38" s="8" t="inlineStr">
        <is>
          <t>PROPERTY TAX OPERATING (levy limit)</t>
        </is>
      </c>
      <c r="C38" s="7">
        <f>C12+C37+C33</f>
        <v/>
      </c>
      <c r="D38" s="7">
        <f>D12+D37+D33</f>
        <v/>
      </c>
      <c r="E38" s="7">
        <f>E12+E37+E33</f>
        <v/>
      </c>
      <c r="F38" s="7">
        <f>F12+F37+F33</f>
        <v/>
      </c>
      <c r="G38" s="7">
        <f>G12+G37+G33</f>
        <v/>
      </c>
      <c r="H38" s="7">
        <f>H12+H37+H33</f>
        <v/>
      </c>
      <c r="I38" s="7">
        <f>H38*(1.025+Assumptions!$B$31)+I35</f>
        <v/>
      </c>
      <c r="J38" s="7">
        <f>I38*(1.025+Assumptions!$B$31)+J35</f>
        <v/>
      </c>
      <c r="K38" s="7">
        <f>J38*(1.025+Assumptions!$B$31)+K35</f>
        <v/>
      </c>
      <c r="L38" s="7">
        <f>K38*(1.025+Assumptions!$B$31)+L35</f>
        <v/>
      </c>
      <c r="M38" s="7">
        <f>L38*(1.025+Assumptions!$B$31)+M35</f>
        <v/>
      </c>
      <c r="N38" s="7">
        <f>M38*(1.025+Assumptions!$B$31)+N35</f>
        <v/>
      </c>
      <c r="O38" s="7">
        <f>N38*(1.025+Assumptions!$B$31)+O35</f>
        <v/>
      </c>
      <c r="P38" s="7">
        <f>O38*(1.025+Assumptions!$B$31)+P35</f>
        <v/>
      </c>
      <c r="Q38" s="7">
        <f>P38*(1.025+Assumptions!$B$31)+Q35</f>
        <v/>
      </c>
    </row>
    <row r="39">
      <c r="A39" s="8" t="inlineStr">
        <is>
          <t>PROPERTY TAXES (operating + debt exclusion)</t>
        </is>
      </c>
      <c r="C39" s="7">
        <f>C38+C13</f>
        <v/>
      </c>
      <c r="D39" s="7">
        <f>D38+D13</f>
        <v/>
      </c>
      <c r="E39" s="7">
        <f>E38+E13</f>
        <v/>
      </c>
      <c r="F39" s="7">
        <f>F38+F13</f>
        <v/>
      </c>
      <c r="G39" s="7">
        <f>G38+G13</f>
        <v/>
      </c>
      <c r="H39" s="7">
        <f>H38+H13</f>
        <v/>
      </c>
      <c r="I39" s="7">
        <f>I38+I13</f>
        <v/>
      </c>
      <c r="J39" s="7">
        <f>J38+J13</f>
        <v/>
      </c>
      <c r="K39" s="7">
        <f>K38+K13</f>
        <v/>
      </c>
      <c r="L39" s="7">
        <f>L38+L13</f>
        <v/>
      </c>
      <c r="M39" s="7">
        <f>M38+M13</f>
        <v/>
      </c>
      <c r="N39" s="7">
        <f>N38+N13</f>
        <v/>
      </c>
      <c r="O39" s="7">
        <f>O38+O13</f>
        <v/>
      </c>
      <c r="P39" s="7">
        <f>P38+P13</f>
        <v/>
      </c>
      <c r="Q39" s="7">
        <f>Q38+Q13</f>
        <v/>
      </c>
    </row>
    <row r="40">
      <c r="A40" s="9" t="inlineStr">
        <is>
          <t>State Aid</t>
        </is>
      </c>
      <c r="C40" s="7">
        <f>'Historical FY05-25'!W16*(1+Assumptions!$B$32)^1</f>
        <v/>
      </c>
      <c r="D40" s="7">
        <f>'Historical FY05-25'!W16*(1+Assumptions!$B$32)^2</f>
        <v/>
      </c>
      <c r="E40" s="7">
        <f>'Historical FY05-25'!W16*(1+Assumptions!$B$32)^3</f>
        <v/>
      </c>
      <c r="F40" s="7">
        <f>'Historical FY05-25'!W16*(1+Assumptions!$B$32)^4</f>
        <v/>
      </c>
      <c r="G40" s="7">
        <f>'Historical FY05-25'!W16*(1+Assumptions!$B$32)^5</f>
        <v/>
      </c>
      <c r="H40" s="7">
        <f>'Historical FY05-25'!W16*(1+Assumptions!$B$32)^6</f>
        <v/>
      </c>
      <c r="I40" s="7">
        <f>'Historical FY05-25'!W16*(1+Assumptions!$B$32)^7</f>
        <v/>
      </c>
      <c r="J40" s="7">
        <f>'Historical FY05-25'!W16*(1+Assumptions!$B$32)^8</f>
        <v/>
      </c>
      <c r="K40" s="7">
        <f>'Historical FY05-25'!W16*(1+Assumptions!$B$32)^9</f>
        <v/>
      </c>
      <c r="L40" s="7">
        <f>'Historical FY05-25'!W16*(1+Assumptions!$B$32)^10</f>
        <v/>
      </c>
      <c r="M40" s="7">
        <f>'Historical FY05-25'!W16*(1+Assumptions!$B$32)^11</f>
        <v/>
      </c>
      <c r="N40" s="7">
        <f>'Historical FY05-25'!W16*(1+Assumptions!$B$32)^12</f>
        <v/>
      </c>
      <c r="O40" s="7">
        <f>'Historical FY05-25'!W16*(1+Assumptions!$B$32)^13</f>
        <v/>
      </c>
      <c r="P40" s="7">
        <f>'Historical FY05-25'!W16*(1+Assumptions!$B$32)^14</f>
        <v/>
      </c>
      <c r="Q40" s="7">
        <f>'Historical FY05-25'!W16*(1+Assumptions!$B$32)^15</f>
        <v/>
      </c>
    </row>
    <row r="41">
      <c r="A41" s="6" t="inlineStr">
        <is>
          <t>Local Receipts (cited - meals tax/permits/CHCA sub-model)</t>
        </is>
      </c>
      <c r="C41" s="7" t="n">
        <v>35012286</v>
      </c>
      <c r="D41" s="7" t="n">
        <v>37633556</v>
      </c>
      <c r="E41" s="7" t="n">
        <v>37966996</v>
      </c>
      <c r="F41" s="7" t="n">
        <v>39394524</v>
      </c>
      <c r="G41" s="7" t="n">
        <v>40907726</v>
      </c>
      <c r="H41" s="7" t="n">
        <v>42350406</v>
      </c>
      <c r="I41" s="7" t="n">
        <v>44139883</v>
      </c>
      <c r="J41" s="7" t="n">
        <v>45869433</v>
      </c>
      <c r="K41" s="7" t="n">
        <v>47659617</v>
      </c>
      <c r="L41" s="7" t="n">
        <v>49393603</v>
      </c>
      <c r="M41" s="7" t="n">
        <v>51175565</v>
      </c>
      <c r="N41" s="7" t="n">
        <v>53024658</v>
      </c>
      <c r="O41" s="7" t="n">
        <v>54943531</v>
      </c>
      <c r="P41" s="7" t="n">
        <v>56934942</v>
      </c>
      <c r="Q41" s="7" t="n">
        <v>59001766</v>
      </c>
    </row>
    <row r="42">
      <c r="A42" s="6" t="inlineStr">
        <is>
          <t>Free Cash (cited - Town LRFP, or the two-year cash cycle for trend; revenue_cash_cycle.py)</t>
        </is>
      </c>
      <c r="C42" s="7" t="n">
        <v>21303316</v>
      </c>
      <c r="D42" s="7" t="n">
        <v>18280805</v>
      </c>
      <c r="E42" s="7" t="n">
        <v>22303599</v>
      </c>
      <c r="F42" s="7" t="n">
        <v>22756298</v>
      </c>
      <c r="G42" s="7" t="n">
        <v>24708483</v>
      </c>
      <c r="H42" s="7" t="n">
        <v>25831988</v>
      </c>
      <c r="I42" s="7" t="n">
        <v>26803161</v>
      </c>
      <c r="J42" s="7" t="n">
        <v>27677431</v>
      </c>
      <c r="K42" s="7" t="n">
        <v>28766123</v>
      </c>
      <c r="L42" s="7" t="n">
        <v>29851668</v>
      </c>
      <c r="M42" s="7" t="n">
        <v>30981938</v>
      </c>
      <c r="N42" s="7" t="n">
        <v>32083741</v>
      </c>
      <c r="O42" s="7" t="n">
        <v>33221647</v>
      </c>
      <c r="P42" s="7" t="n">
        <v>34400321</v>
      </c>
      <c r="Q42" s="7" t="n">
        <v>35623245</v>
      </c>
    </row>
    <row r="43">
      <c r="A43" s="8" t="inlineStr">
        <is>
          <t>TOTAL REVENUE</t>
        </is>
      </c>
      <c r="C43" s="7">
        <f>C39+C40+C41+C16+C42</f>
        <v/>
      </c>
      <c r="D43" s="7">
        <f>D39+D40+D41+D16+D42</f>
        <v/>
      </c>
      <c r="E43" s="7">
        <f>E39+E40+E41+E16+E42</f>
        <v/>
      </c>
      <c r="F43" s="7">
        <f>F39+F40+F41+F16+F42</f>
        <v/>
      </c>
      <c r="G43" s="7">
        <f>G39+G40+G41+G16+G42</f>
        <v/>
      </c>
      <c r="H43" s="7">
        <f>H39+H40+H41+H16+H42</f>
        <v/>
      </c>
      <c r="I43" s="7">
        <f>I39+I40+I41+I16+I42</f>
        <v/>
      </c>
      <c r="J43" s="7">
        <f>J39+J40+J41+J16+J42</f>
        <v/>
      </c>
      <c r="K43" s="7">
        <f>K39+K40+K41+K16+K42</f>
        <v/>
      </c>
      <c r="L43" s="7">
        <f>L39+L40+L41+L16+L42</f>
        <v/>
      </c>
      <c r="M43" s="7">
        <f>M39+M40+M41+M16+M42</f>
        <v/>
      </c>
      <c r="N43" s="7">
        <f>N39+N40+N41+N16+N42</f>
        <v/>
      </c>
      <c r="O43" s="7">
        <f>O39+O40+O41+O16+O42</f>
        <v/>
      </c>
      <c r="P43" s="7">
        <f>P39+P40+P41+P16+P42</f>
        <v/>
      </c>
      <c r="Q43" s="7">
        <f>Q39+Q40+Q41+Q16+Q42</f>
        <v/>
      </c>
    </row>
    <row r="44">
      <c r="A44" s="9" t="inlineStr">
        <is>
          <t>Check vs. Python model (should be ~$0)</t>
        </is>
      </c>
      <c r="C44" s="7">
        <f>C43-420887408.0</f>
        <v/>
      </c>
      <c r="D44" s="7">
        <f>D43-453371412.0</f>
        <v/>
      </c>
      <c r="E44" s="7">
        <f>E43-474353127.0</f>
        <v/>
      </c>
      <c r="F44" s="7">
        <f>F43-498866440.0</f>
        <v/>
      </c>
      <c r="G44" s="7">
        <f>G43-517305104.0</f>
        <v/>
      </c>
      <c r="H44" s="7">
        <f>H43-533111228.0</f>
        <v/>
      </c>
      <c r="I44" s="7">
        <f>I43-552863190.0</f>
        <v/>
      </c>
      <c r="J44" s="7">
        <f>J43-573097540.0</f>
        <v/>
      </c>
      <c r="K44" s="7">
        <f>K43-594270217.0</f>
        <v/>
      </c>
      <c r="L44" s="7">
        <f>L43-615019055.0</f>
        <v/>
      </c>
      <c r="M44" s="7">
        <f>M43-636534957.0</f>
        <v/>
      </c>
      <c r="N44" s="7">
        <f>N43-658789256.0</f>
        <v/>
      </c>
      <c r="O44" s="7">
        <f>O43-681875500.0</f>
        <v/>
      </c>
      <c r="P44" s="7">
        <f>P43-705828425.0</f>
        <v/>
      </c>
      <c r="Q44" s="7">
        <f>Q43-730682734.0</f>
        <v/>
      </c>
    </row>
  </sheetData>
  <mergeCells count="2">
    <mergeCell ref="A3:Q3"/>
    <mergeCell ref="A1:W1"/>
  </mergeCells>
  <conditionalFormatting sqref="C29:W29">
    <cfRule type="cellIs" priority="1" operator="greaterThan" dxfId="0">
      <formula>6</formula>
    </cfRule>
    <cfRule type="cellIs" priority="2" operator="lessThan" dxfId="0">
      <formula>-6</formula>
    </cfRule>
  </conditionalFormatting>
  <conditionalFormatting sqref="C44:W44">
    <cfRule type="cellIs" priority="3" operator="greaterThan" dxfId="0">
      <formula>6</formula>
    </cfRule>
    <cfRule type="cellIs" priority="4" operator="lessThan" dxfId="0">
      <formula>-6</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W32"/>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46"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Phase 3 — Baseline Expense Forecast, FY2026-2040</t>
        </is>
      </c>
    </row>
    <row r="2"/>
    <row r="3" ht="84" customHeight="1">
      <c r="A3" s="2" t="inlineStr">
        <is>
          <t>Departmental/Schools/Benefits: Town's own FY26-31 figures (input, identical both scenarios), then FY32-40 extends at each scenario's own CAGR - Town-implied for town_assumptions, trailing-5yr actual (FY2020-2025, from the Historical tab) for trend_corrected. Other Non-Departmental's three non-CIP sub-lines (general, reserve fund, non-appropriated) are held flat post-FY2031, identical in both scenarios - no defensible trend basis. Debt Service - Regular and the CIP share of Other Non-Departmental both follow the Town's own 6.6% CIP policy (their own realized rates, ~3.85%/~6.26% of prior-yr Net Revenue - not the stated 4.5%/2.1% targets - see baseline_expense_forecast_fy26_40_methodology.md), applied to each scenario's own Net Revenue post-FY2031 - cited from the Python model rather than replicated live, so both genuinely diverge by scenario.</t>
        </is>
      </c>
    </row>
    <row r="4"/>
    <row r="5">
      <c r="A5" s="9" t="inlineStr">
        <is>
          <t>Fiscal year (number)</t>
        </is>
      </c>
      <c r="C5" t="n">
        <v>2026</v>
      </c>
      <c r="D5" t="n">
        <v>2027</v>
      </c>
      <c r="E5" t="n">
        <v>2028</v>
      </c>
      <c r="F5" t="n">
        <v>2029</v>
      </c>
      <c r="G5" t="n">
        <v>2030</v>
      </c>
      <c r="H5" t="n">
        <v>2031</v>
      </c>
      <c r="I5" t="n">
        <v>2032</v>
      </c>
      <c r="J5" t="n">
        <v>2033</v>
      </c>
      <c r="K5" t="n">
        <v>2034</v>
      </c>
      <c r="L5" t="n">
        <v>2035</v>
      </c>
      <c r="M5" t="n">
        <v>2036</v>
      </c>
      <c r="N5" t="n">
        <v>2037</v>
      </c>
      <c r="O5" t="n">
        <v>2038</v>
      </c>
      <c r="P5" t="n">
        <v>2039</v>
      </c>
      <c r="Q5" t="n">
        <v>2040</v>
      </c>
    </row>
    <row r="6"/>
    <row r="7">
      <c r="A7" s="3" t="inlineStr">
        <is>
          <t>Shared (identical across both scenarios)</t>
        </is>
      </c>
    </row>
    <row r="8">
      <c r="A8" s="9" t="inlineStr">
        <is>
          <t>Debt Service - Excluded (= Revenue tab's Debt Exclusion Revenue)</t>
        </is>
      </c>
      <c r="C8" s="7">
        <f>'Revenue FY26-40'!C13</f>
        <v/>
      </c>
      <c r="D8" s="7">
        <f>'Revenue FY26-40'!D13</f>
        <v/>
      </c>
      <c r="E8" s="7">
        <f>'Revenue FY26-40'!E13</f>
        <v/>
      </c>
      <c r="F8" s="7">
        <f>'Revenue FY26-40'!F13</f>
        <v/>
      </c>
      <c r="G8" s="7">
        <f>'Revenue FY26-40'!G13</f>
        <v/>
      </c>
      <c r="H8" s="7">
        <f>'Revenue FY26-40'!H13</f>
        <v/>
      </c>
      <c r="I8" s="7">
        <f>'Revenue FY26-40'!I13</f>
        <v/>
      </c>
      <c r="J8" s="7">
        <f>'Revenue FY26-40'!J13</f>
        <v/>
      </c>
      <c r="K8" s="7">
        <f>'Revenue FY26-40'!K13</f>
        <v/>
      </c>
      <c r="L8" s="7">
        <f>'Revenue FY26-40'!L13</f>
        <v/>
      </c>
      <c r="M8" s="7">
        <f>'Revenue FY26-40'!M13</f>
        <v/>
      </c>
      <c r="N8" s="7">
        <f>'Revenue FY26-40'!N13</f>
        <v/>
      </c>
      <c r="O8" s="7">
        <f>'Revenue FY26-40'!O13</f>
        <v/>
      </c>
      <c r="P8" s="7">
        <f>'Revenue FY26-40'!P13</f>
        <v/>
      </c>
      <c r="Q8" s="7">
        <f>'Revenue FY26-40'!Q13</f>
        <v/>
      </c>
    </row>
    <row r="9"/>
    <row r="10">
      <c r="A10" s="3" t="inlineStr">
        <is>
          <t>Scenario: town_assumptions</t>
        </is>
      </c>
    </row>
    <row r="11">
      <c r="A11" s="8" t="inlineStr">
        <is>
          <t>Departmental (Town, ex-schools)</t>
        </is>
      </c>
      <c r="C11" s="20" t="n">
        <v>98868974</v>
      </c>
      <c r="D11" s="20" t="n">
        <v>102214316</v>
      </c>
      <c r="E11" s="20" t="n">
        <v>105660968</v>
      </c>
      <c r="F11" s="20" t="n">
        <v>108841037</v>
      </c>
      <c r="G11" s="20" t="n">
        <v>111142107</v>
      </c>
      <c r="H11" s="20" t="n">
        <v>114391454</v>
      </c>
      <c r="I11" s="7">
        <f>H11*(1+((114391454.0/98868974.0)^(1/5)-1))</f>
        <v/>
      </c>
      <c r="J11" s="7">
        <f>I11*(1+((114391454.0/98868974.0)^(1/5)-1))</f>
        <v/>
      </c>
      <c r="K11" s="7">
        <f>J11*(1+((114391454.0/98868974.0)^(1/5)-1))</f>
        <v/>
      </c>
      <c r="L11" s="7">
        <f>K11*(1+((114391454.0/98868974.0)^(1/5)-1))</f>
        <v/>
      </c>
      <c r="M11" s="7">
        <f>L11*(1+((114391454.0/98868974.0)^(1/5)-1))</f>
        <v/>
      </c>
      <c r="N11" s="7">
        <f>M11*(1+((114391454.0/98868974.0)^(1/5)-1))</f>
        <v/>
      </c>
      <c r="O11" s="7">
        <f>N11*(1+((114391454.0/98868974.0)^(1/5)-1))</f>
        <v/>
      </c>
      <c r="P11" s="7">
        <f>O11*(1+((114391454.0/98868974.0)^(1/5)-1))</f>
        <v/>
      </c>
      <c r="Q11" s="7">
        <f>P11*(1+((114391454.0/98868974.0)^(1/5)-1))</f>
        <v/>
      </c>
    </row>
    <row r="12">
      <c r="A12" s="9" t="inlineStr">
        <is>
          <t>Schools</t>
        </is>
      </c>
      <c r="C12" s="20" t="n">
        <v>142792591</v>
      </c>
      <c r="D12" s="20" t="n">
        <v>152745067</v>
      </c>
      <c r="E12" s="20" t="n">
        <v>158371400</v>
      </c>
      <c r="F12" s="20" t="n">
        <v>165663919</v>
      </c>
      <c r="G12" s="20" t="n">
        <v>177265426</v>
      </c>
      <c r="H12" s="20" t="n">
        <v>185135639</v>
      </c>
      <c r="I12" s="7">
        <f>H12*(1+((185135639.0/142792591.0)^(1/5)-1))</f>
        <v/>
      </c>
      <c r="J12" s="7">
        <f>I12*(1+((185135639.0/142792591.0)^(1/5)-1))</f>
        <v/>
      </c>
      <c r="K12" s="7">
        <f>J12*(1+((185135639.0/142792591.0)^(1/5)-1))</f>
        <v/>
      </c>
      <c r="L12" s="7">
        <f>K12*(1+((185135639.0/142792591.0)^(1/5)-1))</f>
        <v/>
      </c>
      <c r="M12" s="7">
        <f>L12*(1+((185135639.0/142792591.0)^(1/5)-1))</f>
        <v/>
      </c>
      <c r="N12" s="7">
        <f>M12*(1+((185135639.0/142792591.0)^(1/5)-1))</f>
        <v/>
      </c>
      <c r="O12" s="7">
        <f>N12*(1+((185135639.0/142792591.0)^(1/5)-1))</f>
        <v/>
      </c>
      <c r="P12" s="7">
        <f>O12*(1+((185135639.0/142792591.0)^(1/5)-1))</f>
        <v/>
      </c>
      <c r="Q12" s="7">
        <f>P12*(1+((185135639.0/142792591.0)^(1/5)-1))</f>
        <v/>
      </c>
    </row>
    <row r="13">
      <c r="A13" s="9" t="inlineStr">
        <is>
          <t>Benefits (pensions, health, OPEB)</t>
        </is>
      </c>
      <c r="C13" s="20" t="n">
        <v>90794899</v>
      </c>
      <c r="D13" s="20" t="n">
        <v>100693892</v>
      </c>
      <c r="E13" s="20" t="n">
        <v>110227652</v>
      </c>
      <c r="F13" s="20" t="n">
        <v>121439945</v>
      </c>
      <c r="G13" s="20" t="n">
        <v>122306692</v>
      </c>
      <c r="H13" s="20" t="n">
        <v>127758685</v>
      </c>
      <c r="I13" s="7">
        <f>H13*(1+((127758685.0/90794899.0)^(1/5)-1))</f>
        <v/>
      </c>
      <c r="J13" s="7">
        <f>I13*(1+((127758685.0/90794899.0)^(1/5)-1))</f>
        <v/>
      </c>
      <c r="K13" s="7">
        <f>J13*(1+((127758685.0/90794899.0)^(1/5)-1))</f>
        <v/>
      </c>
      <c r="L13" s="7">
        <f>K13*(1+((127758685.0/90794899.0)^(1/5)-1))</f>
        <v/>
      </c>
      <c r="M13" s="7">
        <f>L13*(1+((127758685.0/90794899.0)^(1/5)-1))</f>
        <v/>
      </c>
      <c r="N13" s="7">
        <f>M13*(1+((127758685.0/90794899.0)^(1/5)-1))</f>
        <v/>
      </c>
      <c r="O13" s="7">
        <f>N13*(1+((127758685.0/90794899.0)^(1/5)-1))</f>
        <v/>
      </c>
      <c r="P13" s="7">
        <f>O13*(1+((127758685.0/90794899.0)^(1/5)-1))</f>
        <v/>
      </c>
      <c r="Q13" s="7">
        <f>P13*(1+((127758685.0/90794899.0)^(1/5)-1))</f>
        <v/>
      </c>
    </row>
    <row r="14">
      <c r="A14" s="6" t="inlineStr">
        <is>
          <t>Debt Service - Regular (FY32-40: 6.6% CIP policy, Town's realized ~3.85%/yr debt-financed rate × prior-yr Net Revenue - cited, LRFP basis)</t>
        </is>
      </c>
      <c r="C14" s="7">
        <f>C15-C8</f>
        <v/>
      </c>
      <c r="D14" s="7">
        <f>D15-D8</f>
        <v/>
      </c>
      <c r="E14" s="7">
        <f>E15-E8</f>
        <v/>
      </c>
      <c r="F14" s="7">
        <f>F15-F8</f>
        <v/>
      </c>
      <c r="G14" s="7">
        <f>G15-G8</f>
        <v/>
      </c>
      <c r="H14" s="7">
        <f>H15-H8</f>
        <v/>
      </c>
      <c r="I14" s="21" t="n">
        <v>16960557</v>
      </c>
      <c r="J14" s="21" t="n">
        <v>17525838</v>
      </c>
      <c r="K14" s="21" t="n">
        <v>18105046</v>
      </c>
      <c r="L14" s="21" t="n">
        <v>18698525</v>
      </c>
      <c r="M14" s="21" t="n">
        <v>19260105</v>
      </c>
      <c r="N14" s="21" t="n">
        <v>19835536</v>
      </c>
      <c r="O14" s="21" t="n">
        <v>20425160</v>
      </c>
      <c r="P14" s="21" t="n">
        <v>21029327</v>
      </c>
      <c r="Q14" s="21" t="n">
        <v>21648398</v>
      </c>
    </row>
    <row r="15">
      <c r="A15" s="9" t="inlineStr">
        <is>
          <t>Debt Service (total) = Excluded + Regular</t>
        </is>
      </c>
      <c r="C15" s="20" t="n">
        <v>43467385</v>
      </c>
      <c r="D15" s="20" t="n">
        <v>49425313</v>
      </c>
      <c r="E15" s="20" t="n">
        <v>49993389</v>
      </c>
      <c r="F15" s="20" t="n">
        <v>52372098</v>
      </c>
      <c r="G15" s="20" t="n">
        <v>52746905</v>
      </c>
      <c r="H15" s="20" t="n">
        <v>53310555</v>
      </c>
      <c r="I15" s="7">
        <f>I8+I14</f>
        <v/>
      </c>
      <c r="J15" s="7">
        <f>J8+J14</f>
        <v/>
      </c>
      <c r="K15" s="7">
        <f>K8+K14</f>
        <v/>
      </c>
      <c r="L15" s="7">
        <f>L8+L14</f>
        <v/>
      </c>
      <c r="M15" s="7">
        <f>M8+M14</f>
        <v/>
      </c>
      <c r="N15" s="7">
        <f>N8+N14</f>
        <v/>
      </c>
      <c r="O15" s="7">
        <f>O8+O14</f>
        <v/>
      </c>
      <c r="P15" s="7">
        <f>P8+P14</f>
        <v/>
      </c>
      <c r="Q15" s="7">
        <f>Q8+Q14</f>
        <v/>
      </c>
    </row>
    <row r="16">
      <c r="A16" s="6" t="inlineStr">
        <is>
          <t>Other Non-Departmental (FY32-40: CIP share at Town's realized ~6.26%/yr rate, LRFP basis, cited; general/reserve/non-appropriated held flat)</t>
        </is>
      </c>
      <c r="C16" s="20" t="n">
        <v>43684281</v>
      </c>
      <c r="D16" s="20" t="n">
        <v>45641904</v>
      </c>
      <c r="E16" s="20" t="n">
        <v>47830756</v>
      </c>
      <c r="F16" s="20" t="n">
        <v>48204207</v>
      </c>
      <c r="G16" s="20" t="n">
        <v>49722492</v>
      </c>
      <c r="H16" s="20" t="n">
        <v>51111149</v>
      </c>
      <c r="I16" s="21" t="n">
        <v>52465161</v>
      </c>
      <c r="J16" s="21" t="n">
        <v>53384581</v>
      </c>
      <c r="K16" s="21" t="n">
        <v>54326652</v>
      </c>
      <c r="L16" s="21" t="n">
        <v>55291934</v>
      </c>
      <c r="M16" s="21" t="n">
        <v>56205334</v>
      </c>
      <c r="N16" s="21" t="n">
        <v>57141262</v>
      </c>
      <c r="O16" s="21" t="n">
        <v>58100274</v>
      </c>
      <c r="P16" s="21" t="n">
        <v>59082941</v>
      </c>
      <c r="Q16" s="21" t="n">
        <v>60089847</v>
      </c>
    </row>
    <row r="17">
      <c r="A17" s="8" t="inlineStr">
        <is>
          <t>TOTAL EXPENDITURE</t>
        </is>
      </c>
      <c r="C17" s="7">
        <f>C11+C12+C13+C15+C16</f>
        <v/>
      </c>
      <c r="D17" s="7">
        <f>D11+D12+D13+D15+D16</f>
        <v/>
      </c>
      <c r="E17" s="7">
        <f>E11+E12+E13+E15+E16</f>
        <v/>
      </c>
      <c r="F17" s="7">
        <f>F11+F12+F13+F15+F16</f>
        <v/>
      </c>
      <c r="G17" s="7">
        <f>G11+G12+G13+G15+G16</f>
        <v/>
      </c>
      <c r="H17" s="7">
        <f>H11+H12+H13+H15+H16</f>
        <v/>
      </c>
      <c r="I17" s="7">
        <f>I11+I12+I13+I15+I16</f>
        <v/>
      </c>
      <c r="J17" s="7">
        <f>J11+J12+J13+J15+J16</f>
        <v/>
      </c>
      <c r="K17" s="7">
        <f>K11+K12+K13+K15+K16</f>
        <v/>
      </c>
      <c r="L17" s="7">
        <f>L11+L12+L13+L15+L16</f>
        <v/>
      </c>
      <c r="M17" s="7">
        <f>M11+M12+M13+M15+M16</f>
        <v/>
      </c>
      <c r="N17" s="7">
        <f>N11+N12+N13+N15+N16</f>
        <v/>
      </c>
      <c r="O17" s="7">
        <f>O11+O12+O13+O15+O16</f>
        <v/>
      </c>
      <c r="P17" s="7">
        <f>P11+P12+P13+P15+P16</f>
        <v/>
      </c>
      <c r="Q17" s="7">
        <f>Q11+Q12+Q13+Q15+Q16</f>
        <v/>
      </c>
    </row>
    <row r="18">
      <c r="A18" s="9" t="inlineStr">
        <is>
          <t>Check vs. Python model (should be ~$0)</t>
        </is>
      </c>
      <c r="C18" s="7">
        <f>C17-419608130.0</f>
        <v/>
      </c>
      <c r="D18" s="7">
        <f>D17-450720492.0</f>
        <v/>
      </c>
      <c r="E18" s="7">
        <f>E17-472084165.0</f>
        <v/>
      </c>
      <c r="F18" s="7">
        <f>F17-496521206.0</f>
        <v/>
      </c>
      <c r="G18" s="7">
        <f>G17-513183622.0</f>
        <v/>
      </c>
      <c r="H18" s="7">
        <f>H17-531707482.0</f>
        <v/>
      </c>
      <c r="I18" s="7">
        <f>I17-555719704.0</f>
        <v/>
      </c>
      <c r="J18" s="7">
        <f>J17-580756571.0</f>
        <v/>
      </c>
      <c r="K18" s="7">
        <f>K17-607171058.0</f>
        <v/>
      </c>
      <c r="L18" s="7">
        <f>L17-635044998.0</f>
        <v/>
      </c>
      <c r="M18" s="7">
        <f>M17-664343147.0</f>
        <v/>
      </c>
      <c r="N18" s="7">
        <f>N17-695277084.0</f>
        <v/>
      </c>
      <c r="O18" s="7">
        <f>O17-727944891.0</f>
        <v/>
      </c>
      <c r="P18" s="7">
        <f>P17-762450808.0</f>
        <v/>
      </c>
      <c r="Q18" s="7">
        <f>Q17-798905627.0</f>
        <v/>
      </c>
    </row>
    <row r="19"/>
    <row r="20"/>
    <row r="21">
      <c r="A21" s="3" t="inlineStr">
        <is>
          <t>Scenario: trend_corrected</t>
        </is>
      </c>
    </row>
    <row r="22">
      <c r="A22" s="6" t="inlineStr">
        <is>
          <t>Departmental (cited - see departmental_category_forecast, 5 Schedule A categories each own-trended, not re-derived here)</t>
        </is>
      </c>
      <c r="C22" s="21" t="n">
        <v>98868975</v>
      </c>
      <c r="D22" s="21" t="n">
        <v>102214316</v>
      </c>
      <c r="E22" s="21" t="n">
        <v>105660969</v>
      </c>
      <c r="F22" s="21" t="n">
        <v>108841036</v>
      </c>
      <c r="G22" s="21" t="n">
        <v>111142107</v>
      </c>
      <c r="H22" s="21" t="n">
        <v>114391453</v>
      </c>
      <c r="I22" s="21" t="n">
        <v>118715972</v>
      </c>
      <c r="J22" s="21" t="n">
        <v>123208433</v>
      </c>
      <c r="K22" s="21" t="n">
        <v>127875519</v>
      </c>
      <c r="L22" s="21" t="n">
        <v>132724176</v>
      </c>
      <c r="M22" s="21" t="n">
        <v>137761640</v>
      </c>
      <c r="N22" s="21" t="n">
        <v>142995435</v>
      </c>
      <c r="O22" s="21" t="n">
        <v>148433395</v>
      </c>
      <c r="P22" s="21" t="n">
        <v>154083670</v>
      </c>
      <c r="Q22" s="21" t="n">
        <v>159954743</v>
      </c>
    </row>
    <row r="23">
      <c r="A23" s="6" t="inlineStr">
        <is>
          <t>Schools (cited - see schools_category_forecast, 9 DESE categories each own-trended, not re-derived here)</t>
        </is>
      </c>
      <c r="C23" s="21" t="n">
        <v>151173083</v>
      </c>
      <c r="D23" s="21" t="n">
        <v>156072693</v>
      </c>
      <c r="E23" s="21" t="n">
        <v>161151867</v>
      </c>
      <c r="F23" s="21" t="n">
        <v>166417846</v>
      </c>
      <c r="G23" s="21" t="n">
        <v>171878190</v>
      </c>
      <c r="H23" s="21" t="n">
        <v>177540799</v>
      </c>
      <c r="I23" s="21" t="n">
        <v>183413934</v>
      </c>
      <c r="J23" s="21" t="n">
        <v>189506218</v>
      </c>
      <c r="K23" s="21" t="n">
        <v>195826675</v>
      </c>
      <c r="L23" s="21" t="n">
        <v>202384733</v>
      </c>
      <c r="M23" s="21" t="n">
        <v>209190256</v>
      </c>
      <c r="N23" s="21" t="n">
        <v>216253550</v>
      </c>
      <c r="O23" s="21" t="n">
        <v>223585402</v>
      </c>
      <c r="P23" s="21" t="n">
        <v>231197093</v>
      </c>
      <c r="Q23" s="21" t="n">
        <v>239100425</v>
      </c>
    </row>
    <row r="24">
      <c r="A24" s="6" t="inlineStr">
        <is>
          <t>Benefits (cited - see benefits_category_forecast, Pensions/Group Health/OPEB/Other each own-modeled, not re-derived here)</t>
        </is>
      </c>
      <c r="C24" s="21" t="n">
        <v>92725504</v>
      </c>
      <c r="D24" s="21" t="n">
        <v>102667994</v>
      </c>
      <c r="E24" s="21" t="n">
        <v>112465654</v>
      </c>
      <c r="F24" s="21" t="n">
        <v>123853630</v>
      </c>
      <c r="G24" s="21" t="n">
        <v>116982406</v>
      </c>
      <c r="H24" s="21" t="n">
        <v>129647506</v>
      </c>
      <c r="I24" s="21" t="n">
        <v>134910674</v>
      </c>
      <c r="J24" s="21" t="n">
        <v>140503878</v>
      </c>
      <c r="K24" s="21" t="n">
        <v>146448164</v>
      </c>
      <c r="L24" s="21" t="n">
        <v>152765928</v>
      </c>
      <c r="M24" s="21" t="n">
        <v>159481009</v>
      </c>
      <c r="N24" s="21" t="n">
        <v>166618782</v>
      </c>
      <c r="O24" s="21" t="n">
        <v>174206252</v>
      </c>
      <c r="P24" s="21" t="n">
        <v>182272166</v>
      </c>
      <c r="Q24" s="21" t="n">
        <v>190847121</v>
      </c>
    </row>
    <row r="25">
      <c r="A25" s="6" t="inlineStr">
        <is>
          <t>Debt Service - Regular (FY27-32: real CIP funding table; FY33-40: realized ~3.95%/yr rate - cited)</t>
        </is>
      </c>
      <c r="C25" s="21" t="n">
        <v>14870525</v>
      </c>
      <c r="D25" s="21" t="n">
        <v>13985479</v>
      </c>
      <c r="E25" s="21" t="n">
        <v>14367683</v>
      </c>
      <c r="F25" s="21" t="n">
        <v>16096302</v>
      </c>
      <c r="G25" s="21" t="n">
        <v>16462008</v>
      </c>
      <c r="H25" s="21" t="n">
        <v>17594808</v>
      </c>
      <c r="I25" s="21" t="n">
        <v>17514813</v>
      </c>
      <c r="J25" s="21" t="n">
        <v>18834705</v>
      </c>
      <c r="K25" s="21" t="n">
        <v>19598573</v>
      </c>
      <c r="L25" s="21" t="n">
        <v>20391002</v>
      </c>
      <c r="M25" s="21" t="n">
        <v>21166834</v>
      </c>
      <c r="N25" s="21" t="n">
        <v>21971165</v>
      </c>
      <c r="O25" s="21" t="n">
        <v>22805754</v>
      </c>
      <c r="P25" s="21" t="n">
        <v>23671744</v>
      </c>
      <c r="Q25" s="21" t="n">
        <v>24570320</v>
      </c>
    </row>
    <row r="26">
      <c r="A26" s="9" t="inlineStr">
        <is>
          <t>Debt Service (total) = Excluded + Regular</t>
        </is>
      </c>
      <c r="C26" s="7">
        <f>C8+C25</f>
        <v/>
      </c>
      <c r="D26" s="7">
        <f>D8+D25</f>
        <v/>
      </c>
      <c r="E26" s="7">
        <f>E8+E25</f>
        <v/>
      </c>
      <c r="F26" s="7">
        <f>F8+F25</f>
        <v/>
      </c>
      <c r="G26" s="7">
        <f>G8+G25</f>
        <v/>
      </c>
      <c r="H26" s="7">
        <f>H8+H25</f>
        <v/>
      </c>
      <c r="I26" s="7">
        <f>I8+I25</f>
        <v/>
      </c>
      <c r="J26" s="7">
        <f>J8+J25</f>
        <v/>
      </c>
      <c r="K26" s="7">
        <f>K8+K25</f>
        <v/>
      </c>
      <c r="L26" s="7">
        <f>L8+L25</f>
        <v/>
      </c>
      <c r="M26" s="7">
        <f>M8+M25</f>
        <v/>
      </c>
      <c r="N26" s="7">
        <f>N8+N25</f>
        <v/>
      </c>
      <c r="O26" s="7">
        <f>O8+O25</f>
        <v/>
      </c>
      <c r="P26" s="7">
        <f>P8+P25</f>
        <v/>
      </c>
      <c r="Q26" s="7">
        <f>Q8+Q25</f>
        <v/>
      </c>
    </row>
    <row r="27">
      <c r="A27" s="6" t="inlineStr">
        <is>
          <t xml:space="preserve">  of which, CIP: Revenue Financed (paygo, target 2.1% of Net Rev)</t>
        </is>
      </c>
      <c r="D27" s="21" t="n">
        <v>7438594</v>
      </c>
      <c r="E27" s="21" t="n">
        <v>10186128</v>
      </c>
      <c r="F27" s="21" t="n">
        <v>9207977</v>
      </c>
      <c r="G27" s="21" t="n">
        <v>9623797</v>
      </c>
      <c r="H27" s="21" t="n">
        <v>9292699</v>
      </c>
      <c r="I27" s="21" t="n">
        <v>10109080</v>
      </c>
      <c r="J27" s="21" t="n">
        <v>10970522</v>
      </c>
      <c r="K27" s="21" t="n">
        <v>11415447</v>
      </c>
      <c r="L27" s="21" t="n">
        <v>11877008</v>
      </c>
      <c r="M27" s="21" t="n">
        <v>12328901</v>
      </c>
      <c r="N27" s="21" t="n">
        <v>12797395</v>
      </c>
      <c r="O27" s="21" t="n">
        <v>13283512</v>
      </c>
      <c r="P27" s="21" t="n">
        <v>13787919</v>
      </c>
      <c r="Q27" s="21" t="n">
        <v>14311307</v>
      </c>
    </row>
    <row r="28">
      <c r="A28" s="6" t="inlineStr">
        <is>
          <t xml:space="preserve">  of which, CIP: Free Cash allocation (tops CIP funding to the Town's 8% policy floor)</t>
        </is>
      </c>
      <c r="D28" s="21" t="n">
        <v>12384732</v>
      </c>
      <c r="E28" s="21" t="n">
        <v>10034894</v>
      </c>
      <c r="F28" s="21" t="n">
        <v>10904662</v>
      </c>
      <c r="G28" s="21" t="n">
        <v>11536390</v>
      </c>
      <c r="H28" s="21" t="n">
        <v>12186467</v>
      </c>
      <c r="I28" s="21" t="n">
        <v>13123183</v>
      </c>
      <c r="J28" s="21" t="n">
        <v>13818000</v>
      </c>
      <c r="K28" s="21" t="n">
        <v>14378409</v>
      </c>
      <c r="L28" s="21" t="n">
        <v>14959772</v>
      </c>
      <c r="M28" s="21" t="n">
        <v>15528957</v>
      </c>
      <c r="N28" s="21" t="n">
        <v>16119051</v>
      </c>
      <c r="O28" s="21" t="n">
        <v>16731344</v>
      </c>
      <c r="P28" s="21" t="n">
        <v>17366673</v>
      </c>
      <c r="Q28" s="21" t="n">
        <v>18025910</v>
      </c>
    </row>
    <row r="29">
      <c r="A29" s="6" t="inlineStr">
        <is>
          <t xml:space="preserve">  of which, CIP: Overlay Surplus (one-time)</t>
        </is>
      </c>
      <c r="D29" s="21" t="n">
        <v>1500000</v>
      </c>
      <c r="E29" s="21" t="n">
        <v>0</v>
      </c>
      <c r="F29" s="21" t="n">
        <v>0</v>
      </c>
      <c r="G29" s="21" t="n">
        <v>0</v>
      </c>
      <c r="H29" s="21" t="n">
        <v>0</v>
      </c>
      <c r="I29" s="21" t="n">
        <v>0</v>
      </c>
      <c r="J29" s="21" t="n">
        <v>0</v>
      </c>
      <c r="K29" s="21" t="n">
        <v>0</v>
      </c>
      <c r="L29" s="21" t="n">
        <v>0</v>
      </c>
      <c r="M29" s="21" t="n">
        <v>0</v>
      </c>
      <c r="N29" s="21" t="n">
        <v>0</v>
      </c>
      <c r="O29" s="21" t="n">
        <v>0</v>
      </c>
      <c r="P29" s="21" t="n">
        <v>0</v>
      </c>
      <c r="Q29" s="21" t="n">
        <v>0</v>
      </c>
    </row>
    <row r="30">
      <c r="A30" s="6" t="inlineStr">
        <is>
          <t>Other Non-Departmental = CIP paygo+free cash+overlay (above) + general/reserve/non-appropriated (held flat, no trend basis)</t>
        </is>
      </c>
      <c r="C30" s="21" t="n">
        <v>43684281</v>
      </c>
      <c r="D30" s="21" t="n">
        <v>43409135</v>
      </c>
      <c r="E30" s="21" t="n">
        <v>43656513</v>
      </c>
      <c r="F30" s="21" t="n">
        <v>44003384</v>
      </c>
      <c r="G30" s="21" t="n">
        <v>45537525</v>
      </c>
      <c r="H30" s="21" t="n">
        <v>46358295</v>
      </c>
      <c r="I30" s="21" t="n">
        <v>48111392</v>
      </c>
      <c r="J30" s="21" t="n">
        <v>49667652</v>
      </c>
      <c r="K30" s="21" t="n">
        <v>50672985</v>
      </c>
      <c r="L30" s="21" t="n">
        <v>51715909</v>
      </c>
      <c r="M30" s="21" t="n">
        <v>52736987</v>
      </c>
      <c r="N30" s="21" t="n">
        <v>53795575</v>
      </c>
      <c r="O30" s="21" t="n">
        <v>54893985</v>
      </c>
      <c r="P30" s="21" t="n">
        <v>56033721</v>
      </c>
      <c r="Q30" s="21" t="n">
        <v>57216346</v>
      </c>
    </row>
    <row r="31">
      <c r="A31" s="8" t="inlineStr">
        <is>
          <t>TOTAL EXPENDITURE</t>
        </is>
      </c>
      <c r="C31" s="7">
        <f>C22+C23+C24+C26+C30</f>
        <v/>
      </c>
      <c r="D31" s="7">
        <f>D22+D23+D24+D26+D30</f>
        <v/>
      </c>
      <c r="E31" s="7">
        <f>E22+E23+E24+E26+E30</f>
        <v/>
      </c>
      <c r="F31" s="7">
        <f>F22+F23+F24+F26+F30</f>
        <v/>
      </c>
      <c r="G31" s="7">
        <f>G22+G23+G24+G26+G30</f>
        <v/>
      </c>
      <c r="H31" s="7">
        <f>H22+H23+H24+H26+H30</f>
        <v/>
      </c>
      <c r="I31" s="7">
        <f>I22+I23+I24+I26+I30</f>
        <v/>
      </c>
      <c r="J31" s="7">
        <f>J22+J23+J24+J26+J30</f>
        <v/>
      </c>
      <c r="K31" s="7">
        <f>K22+K23+K24+K26+K30</f>
        <v/>
      </c>
      <c r="L31" s="7">
        <f>L22+L23+L24+L26+L30</f>
        <v/>
      </c>
      <c r="M31" s="7">
        <f>M22+M23+M24+M26+M30</f>
        <v/>
      </c>
      <c r="N31" s="7">
        <f>N22+N23+N24+N26+N30</f>
        <v/>
      </c>
      <c r="O31" s="7">
        <f>O22+O23+O24+O26+O30</f>
        <v/>
      </c>
      <c r="P31" s="7">
        <f>P22+P23+P24+P26+P30</f>
        <v/>
      </c>
      <c r="Q31" s="7">
        <f>Q22+Q23+Q24+Q26+Q30</f>
        <v/>
      </c>
    </row>
    <row r="32">
      <c r="A32" s="9" t="inlineStr">
        <is>
          <t>Check vs. Python model (should be ~$0)</t>
        </is>
      </c>
      <c r="C32" s="7">
        <f>C31-429919228.0</f>
        <v/>
      </c>
      <c r="D32" s="7">
        <f>D31-453729450.0</f>
        <v/>
      </c>
      <c r="E32" s="7">
        <f>E31-473316392.0</f>
        <v/>
      </c>
      <c r="F32" s="7">
        <f>F31-495938778.0</f>
        <v/>
      </c>
      <c r="G32" s="7">
        <f>G31-498723216.0</f>
        <v/>
      </c>
      <c r="H32" s="7">
        <f>H31-522253791.0</f>
        <v/>
      </c>
      <c r="I32" s="7">
        <f>I31-539387715.0</f>
        <v/>
      </c>
      <c r="J32" s="7">
        <f>J31-558441816.0</f>
        <v/>
      </c>
      <c r="K32" s="7">
        <f>K31-577142845.0</f>
        <v/>
      </c>
      <c r="L32" s="7">
        <f>L31-596702678.0</f>
        <v/>
      </c>
      <c r="M32" s="7">
        <f>M31-617057656.0</f>
        <v/>
      </c>
      <c r="N32" s="7">
        <f>N31-638355437.0</f>
        <v/>
      </c>
      <c r="O32" s="7">
        <f>O31-660645718.0</f>
        <v/>
      </c>
      <c r="P32" s="7">
        <f>P31-683979324.0</f>
        <v/>
      </c>
      <c r="Q32" s="7">
        <f>Q31-708409885.0</f>
        <v/>
      </c>
    </row>
  </sheetData>
  <mergeCells count="2">
    <mergeCell ref="A3:Q3"/>
    <mergeCell ref="A1:W1"/>
  </mergeCells>
  <conditionalFormatting sqref="C18:W18">
    <cfRule type="cellIs" priority="1" operator="greaterThan" dxfId="0">
      <formula>6</formula>
    </cfRule>
    <cfRule type="cellIs" priority="2" operator="lessThan" dxfId="0">
      <formula>-6</formula>
    </cfRule>
  </conditionalFormatting>
  <conditionalFormatting sqref="C32:W32">
    <cfRule type="cellIs" priority="3" operator="greaterThan" dxfId="0">
      <formula>6</formula>
    </cfRule>
    <cfRule type="cellIs" priority="4" operator="lessThan" dxfId="0">
      <formula>-6</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W19"/>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46"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Part 3a — Baseline Surplus/Deficit, FY2026-2040</t>
        </is>
      </c>
    </row>
    <row r="2"/>
    <row r="3" ht="28" customHeight="1">
      <c r="A3" s="2" t="inlineStr">
        <is>
          <t>Pure combination of the Revenue and Expense tabs, scenario-for-scenario (town_assumptions with town_assumptions, trend_corrected with trend_corrected) - no new computation of its own.</t>
        </is>
      </c>
    </row>
    <row r="4"/>
    <row r="5">
      <c r="A5" s="3" t="inlineStr">
        <is>
          <t>Scenario: town_assumptions</t>
        </is>
      </c>
    </row>
    <row r="6">
      <c r="A6" s="9" t="inlineStr">
        <is>
          <t>Total Revenue (= Revenue tab)</t>
        </is>
      </c>
      <c r="C6" s="7">
        <f>'Revenue FY26-40'!C28</f>
        <v/>
      </c>
      <c r="D6" s="7">
        <f>'Revenue FY26-40'!D28</f>
        <v/>
      </c>
      <c r="E6" s="7">
        <f>'Revenue FY26-40'!E28</f>
        <v/>
      </c>
      <c r="F6" s="7">
        <f>'Revenue FY26-40'!F28</f>
        <v/>
      </c>
      <c r="G6" s="7">
        <f>'Revenue FY26-40'!G28</f>
        <v/>
      </c>
      <c r="H6" s="7">
        <f>'Revenue FY26-40'!H28</f>
        <v/>
      </c>
      <c r="I6" s="7">
        <f>'Revenue FY26-40'!I28</f>
        <v/>
      </c>
      <c r="J6" s="7">
        <f>'Revenue FY26-40'!J28</f>
        <v/>
      </c>
      <c r="K6" s="7">
        <f>'Revenue FY26-40'!K28</f>
        <v/>
      </c>
      <c r="L6" s="7">
        <f>'Revenue FY26-40'!L28</f>
        <v/>
      </c>
      <c r="M6" s="7">
        <f>'Revenue FY26-40'!M28</f>
        <v/>
      </c>
      <c r="N6" s="7">
        <f>'Revenue FY26-40'!N28</f>
        <v/>
      </c>
      <c r="O6" s="7">
        <f>'Revenue FY26-40'!O28</f>
        <v/>
      </c>
      <c r="P6" s="7">
        <f>'Revenue FY26-40'!P28</f>
        <v/>
      </c>
      <c r="Q6" s="7">
        <f>'Revenue FY26-40'!Q28</f>
        <v/>
      </c>
    </row>
    <row r="7">
      <c r="A7" s="9" t="inlineStr">
        <is>
          <t>Total Expenditure (= Expense tab)</t>
        </is>
      </c>
      <c r="C7" s="7">
        <f>'Expense FY26-40'!C17</f>
        <v/>
      </c>
      <c r="D7" s="7">
        <f>'Expense FY26-40'!D17</f>
        <v/>
      </c>
      <c r="E7" s="7">
        <f>'Expense FY26-40'!E17</f>
        <v/>
      </c>
      <c r="F7" s="7">
        <f>'Expense FY26-40'!F17</f>
        <v/>
      </c>
      <c r="G7" s="7">
        <f>'Expense FY26-40'!G17</f>
        <v/>
      </c>
      <c r="H7" s="7">
        <f>'Expense FY26-40'!H17</f>
        <v/>
      </c>
      <c r="I7" s="7">
        <f>'Expense FY26-40'!I17</f>
        <v/>
      </c>
      <c r="J7" s="7">
        <f>'Expense FY26-40'!J17</f>
        <v/>
      </c>
      <c r="K7" s="7">
        <f>'Expense FY26-40'!K17</f>
        <v/>
      </c>
      <c r="L7" s="7">
        <f>'Expense FY26-40'!L17</f>
        <v/>
      </c>
      <c r="M7" s="7">
        <f>'Expense FY26-40'!M17</f>
        <v/>
      </c>
      <c r="N7" s="7">
        <f>'Expense FY26-40'!N17</f>
        <v/>
      </c>
      <c r="O7" s="7">
        <f>'Expense FY26-40'!O17</f>
        <v/>
      </c>
      <c r="P7" s="7">
        <f>'Expense FY26-40'!P17</f>
        <v/>
      </c>
      <c r="Q7" s="7">
        <f>'Expense FY26-40'!Q17</f>
        <v/>
      </c>
    </row>
    <row r="8">
      <c r="A8" s="8" t="inlineStr">
        <is>
          <t>SURPLUS / (DEFICIT)</t>
        </is>
      </c>
      <c r="C8" s="7">
        <f>C6-C7</f>
        <v/>
      </c>
      <c r="D8" s="7">
        <f>D6-D7</f>
        <v/>
      </c>
      <c r="E8" s="7">
        <f>E6-E7</f>
        <v/>
      </c>
      <c r="F8" s="7">
        <f>F6-F7</f>
        <v/>
      </c>
      <c r="G8" s="7">
        <f>G6-G7</f>
        <v/>
      </c>
      <c r="H8" s="7">
        <f>H6-H7</f>
        <v/>
      </c>
      <c r="I8" s="7">
        <f>I6-I7</f>
        <v/>
      </c>
      <c r="J8" s="7">
        <f>J6-J7</f>
        <v/>
      </c>
      <c r="K8" s="7">
        <f>K6-K7</f>
        <v/>
      </c>
      <c r="L8" s="7">
        <f>L6-L7</f>
        <v/>
      </c>
      <c r="M8" s="7">
        <f>M6-M7</f>
        <v/>
      </c>
      <c r="N8" s="7">
        <f>N6-N7</f>
        <v/>
      </c>
      <c r="O8" s="7">
        <f>O6-O7</f>
        <v/>
      </c>
      <c r="P8" s="7">
        <f>P6-P7</f>
        <v/>
      </c>
      <c r="Q8" s="7">
        <f>Q6-Q7</f>
        <v/>
      </c>
    </row>
    <row r="9">
      <c r="A9" s="9" t="inlineStr">
        <is>
          <t xml:space="preserve">  as % of revenue</t>
        </is>
      </c>
      <c r="C9" s="11">
        <f>C8/C6</f>
        <v/>
      </c>
      <c r="D9" s="11">
        <f>D8/D6</f>
        <v/>
      </c>
      <c r="E9" s="11">
        <f>E8/E6</f>
        <v/>
      </c>
      <c r="F9" s="11">
        <f>F8/F6</f>
        <v/>
      </c>
      <c r="G9" s="11">
        <f>G8/G6</f>
        <v/>
      </c>
      <c r="H9" s="11">
        <f>H8/H6</f>
        <v/>
      </c>
      <c r="I9" s="11">
        <f>I8/I6</f>
        <v/>
      </c>
      <c r="J9" s="11">
        <f>J8/J6</f>
        <v/>
      </c>
      <c r="K9" s="11">
        <f>K8/K6</f>
        <v/>
      </c>
      <c r="L9" s="11">
        <f>L8/L6</f>
        <v/>
      </c>
      <c r="M9" s="11">
        <f>M8/M6</f>
        <v/>
      </c>
      <c r="N9" s="11">
        <f>N8/N6</f>
        <v/>
      </c>
      <c r="O9" s="11">
        <f>O8/O6</f>
        <v/>
      </c>
      <c r="P9" s="11">
        <f>P8/P6</f>
        <v/>
      </c>
      <c r="Q9" s="11">
        <f>Q8/Q6</f>
        <v/>
      </c>
    </row>
    <row r="10">
      <c r="A10" s="9" t="inlineStr">
        <is>
          <t>Cumulative surplus/(deficit) since FY2026</t>
        </is>
      </c>
      <c r="C10" s="7">
        <f>C8</f>
        <v/>
      </c>
      <c r="D10" s="7">
        <f>C10+D8</f>
        <v/>
      </c>
      <c r="E10" s="7">
        <f>D10+E8</f>
        <v/>
      </c>
      <c r="F10" s="7">
        <f>E10+F8</f>
        <v/>
      </c>
      <c r="G10" s="7">
        <f>F10+G8</f>
        <v/>
      </c>
      <c r="H10" s="7">
        <f>G10+H8</f>
        <v/>
      </c>
      <c r="I10" s="7">
        <f>H10+I8</f>
        <v/>
      </c>
      <c r="J10" s="7">
        <f>I10+J8</f>
        <v/>
      </c>
      <c r="K10" s="7">
        <f>J10+K8</f>
        <v/>
      </c>
      <c r="L10" s="7">
        <f>K10+L8</f>
        <v/>
      </c>
      <c r="M10" s="7">
        <f>L10+M8</f>
        <v/>
      </c>
      <c r="N10" s="7">
        <f>M10+N8</f>
        <v/>
      </c>
      <c r="O10" s="7">
        <f>N10+O8</f>
        <v/>
      </c>
      <c r="P10" s="7">
        <f>O10+P8</f>
        <v/>
      </c>
      <c r="Q10" s="7">
        <f>P10+Q8</f>
        <v/>
      </c>
    </row>
    <row r="11">
      <c r="A11" s="9" t="inlineStr">
        <is>
          <t>Check vs. Python model (should be ~$0)</t>
        </is>
      </c>
      <c r="C11" s="7">
        <f>C8-1.0</f>
        <v/>
      </c>
      <c r="D11" s="7">
        <f>D8-357144.0</f>
        <v/>
      </c>
      <c r="E11" s="7">
        <f>E8--4996892.0</f>
        <v/>
      </c>
      <c r="F11" s="7">
        <f>F8--7609416.0</f>
        <v/>
      </c>
      <c r="G11" s="7">
        <f>G8--10618508.0</f>
        <v/>
      </c>
      <c r="H11" s="7">
        <f>H8--17622121.0</f>
        <v/>
      </c>
      <c r="I11" s="7">
        <f>I8--26896357.0</f>
        <v/>
      </c>
      <c r="J11" s="7">
        <f>J8--36832153.0</f>
        <v/>
      </c>
      <c r="K11" s="7">
        <f>K8--47773518.0</f>
        <v/>
      </c>
      <c r="L11" s="7">
        <f>L8--61005967.0</f>
        <v/>
      </c>
      <c r="M11" s="7">
        <f>M8--75301520.0</f>
        <v/>
      </c>
      <c r="N11" s="7">
        <f>N8--90862828.0</f>
        <v/>
      </c>
      <c r="O11" s="7">
        <f>O8--107778829.0</f>
        <v/>
      </c>
      <c r="P11" s="7">
        <f>P8--126144390.0</f>
        <v/>
      </c>
      <c r="Q11" s="7">
        <f>Q8--146060698.0</f>
        <v/>
      </c>
    </row>
    <row r="12"/>
    <row r="13">
      <c r="A13" s="3" t="inlineStr">
        <is>
          <t>Scenario: trend_corrected</t>
        </is>
      </c>
    </row>
    <row r="14">
      <c r="A14" s="9" t="inlineStr">
        <is>
          <t>Total Revenue (= Revenue tab)</t>
        </is>
      </c>
      <c r="C14" s="7">
        <f>'Revenue FY26-40'!C43</f>
        <v/>
      </c>
      <c r="D14" s="7">
        <f>'Revenue FY26-40'!D43</f>
        <v/>
      </c>
      <c r="E14" s="7">
        <f>'Revenue FY26-40'!E43</f>
        <v/>
      </c>
      <c r="F14" s="7">
        <f>'Revenue FY26-40'!F43</f>
        <v/>
      </c>
      <c r="G14" s="7">
        <f>'Revenue FY26-40'!G43</f>
        <v/>
      </c>
      <c r="H14" s="7">
        <f>'Revenue FY26-40'!H43</f>
        <v/>
      </c>
      <c r="I14" s="7">
        <f>'Revenue FY26-40'!I43</f>
        <v/>
      </c>
      <c r="J14" s="7">
        <f>'Revenue FY26-40'!J43</f>
        <v/>
      </c>
      <c r="K14" s="7">
        <f>'Revenue FY26-40'!K43</f>
        <v/>
      </c>
      <c r="L14" s="7">
        <f>'Revenue FY26-40'!L43</f>
        <v/>
      </c>
      <c r="M14" s="7">
        <f>'Revenue FY26-40'!M43</f>
        <v/>
      </c>
      <c r="N14" s="7">
        <f>'Revenue FY26-40'!N43</f>
        <v/>
      </c>
      <c r="O14" s="7">
        <f>'Revenue FY26-40'!O43</f>
        <v/>
      </c>
      <c r="P14" s="7">
        <f>'Revenue FY26-40'!P43</f>
        <v/>
      </c>
      <c r="Q14" s="7">
        <f>'Revenue FY26-40'!Q43</f>
        <v/>
      </c>
    </row>
    <row r="15">
      <c r="A15" s="9" t="inlineStr">
        <is>
          <t>Total Expenditure (= Expense tab)</t>
        </is>
      </c>
      <c r="C15" s="7">
        <f>'Expense FY26-40'!C31</f>
        <v/>
      </c>
      <c r="D15" s="7">
        <f>'Expense FY26-40'!D31</f>
        <v/>
      </c>
      <c r="E15" s="7">
        <f>'Expense FY26-40'!E31</f>
        <v/>
      </c>
      <c r="F15" s="7">
        <f>'Expense FY26-40'!F31</f>
        <v/>
      </c>
      <c r="G15" s="7">
        <f>'Expense FY26-40'!G31</f>
        <v/>
      </c>
      <c r="H15" s="7">
        <f>'Expense FY26-40'!H31</f>
        <v/>
      </c>
      <c r="I15" s="7">
        <f>'Expense FY26-40'!I31</f>
        <v/>
      </c>
      <c r="J15" s="7">
        <f>'Expense FY26-40'!J31</f>
        <v/>
      </c>
      <c r="K15" s="7">
        <f>'Expense FY26-40'!K31</f>
        <v/>
      </c>
      <c r="L15" s="7">
        <f>'Expense FY26-40'!L31</f>
        <v/>
      </c>
      <c r="M15" s="7">
        <f>'Expense FY26-40'!M31</f>
        <v/>
      </c>
      <c r="N15" s="7">
        <f>'Expense FY26-40'!N31</f>
        <v/>
      </c>
      <c r="O15" s="7">
        <f>'Expense FY26-40'!O31</f>
        <v/>
      </c>
      <c r="P15" s="7">
        <f>'Expense FY26-40'!P31</f>
        <v/>
      </c>
      <c r="Q15" s="7">
        <f>'Expense FY26-40'!Q31</f>
        <v/>
      </c>
    </row>
    <row r="16">
      <c r="A16" s="8" t="inlineStr">
        <is>
          <t>SURPLUS / (DEFICIT)</t>
        </is>
      </c>
      <c r="C16" s="7">
        <f>C14-C15</f>
        <v/>
      </c>
      <c r="D16" s="7">
        <f>D14-D15</f>
        <v/>
      </c>
      <c r="E16" s="7">
        <f>E14-E15</f>
        <v/>
      </c>
      <c r="F16" s="7">
        <f>F14-F15</f>
        <v/>
      </c>
      <c r="G16" s="7">
        <f>G14-G15</f>
        <v/>
      </c>
      <c r="H16" s="7">
        <f>H14-H15</f>
        <v/>
      </c>
      <c r="I16" s="7">
        <f>I14-I15</f>
        <v/>
      </c>
      <c r="J16" s="7">
        <f>J14-J15</f>
        <v/>
      </c>
      <c r="K16" s="7">
        <f>K14-K15</f>
        <v/>
      </c>
      <c r="L16" s="7">
        <f>L14-L15</f>
        <v/>
      </c>
      <c r="M16" s="7">
        <f>M14-M15</f>
        <v/>
      </c>
      <c r="N16" s="7">
        <f>N14-N15</f>
        <v/>
      </c>
      <c r="O16" s="7">
        <f>O14-O15</f>
        <v/>
      </c>
      <c r="P16" s="7">
        <f>P14-P15</f>
        <v/>
      </c>
      <c r="Q16" s="7">
        <f>Q14-Q15</f>
        <v/>
      </c>
    </row>
    <row r="17">
      <c r="A17" s="9" t="inlineStr">
        <is>
          <t xml:space="preserve">  as % of revenue</t>
        </is>
      </c>
      <c r="C17" s="11">
        <f>C16/C14</f>
        <v/>
      </c>
      <c r="D17" s="11">
        <f>D16/D14</f>
        <v/>
      </c>
      <c r="E17" s="11">
        <f>E16/E14</f>
        <v/>
      </c>
      <c r="F17" s="11">
        <f>F16/F14</f>
        <v/>
      </c>
      <c r="G17" s="11">
        <f>G16/G14</f>
        <v/>
      </c>
      <c r="H17" s="11">
        <f>H16/H14</f>
        <v/>
      </c>
      <c r="I17" s="11">
        <f>I16/I14</f>
        <v/>
      </c>
      <c r="J17" s="11">
        <f>J16/J14</f>
        <v/>
      </c>
      <c r="K17" s="11">
        <f>K16/K14</f>
        <v/>
      </c>
      <c r="L17" s="11">
        <f>L16/L14</f>
        <v/>
      </c>
      <c r="M17" s="11">
        <f>M16/M14</f>
        <v/>
      </c>
      <c r="N17" s="11">
        <f>N16/N14</f>
        <v/>
      </c>
      <c r="O17" s="11">
        <f>O16/O14</f>
        <v/>
      </c>
      <c r="P17" s="11">
        <f>P16/P14</f>
        <v/>
      </c>
      <c r="Q17" s="11">
        <f>Q16/Q14</f>
        <v/>
      </c>
    </row>
    <row r="18">
      <c r="A18" s="9" t="inlineStr">
        <is>
          <t>Cumulative surplus/(deficit) since FY2026</t>
        </is>
      </c>
      <c r="C18" s="7">
        <f>C16</f>
        <v/>
      </c>
      <c r="D18" s="7">
        <f>C18+D16</f>
        <v/>
      </c>
      <c r="E18" s="7">
        <f>D18+E16</f>
        <v/>
      </c>
      <c r="F18" s="7">
        <f>E18+F16</f>
        <v/>
      </c>
      <c r="G18" s="7">
        <f>F18+G16</f>
        <v/>
      </c>
      <c r="H18" s="7">
        <f>G18+H16</f>
        <v/>
      </c>
      <c r="I18" s="7">
        <f>H18+I16</f>
        <v/>
      </c>
      <c r="J18" s="7">
        <f>I18+J16</f>
        <v/>
      </c>
      <c r="K18" s="7">
        <f>J18+K16</f>
        <v/>
      </c>
      <c r="L18" s="7">
        <f>K18+L16</f>
        <v/>
      </c>
      <c r="M18" s="7">
        <f>L18+M16</f>
        <v/>
      </c>
      <c r="N18" s="7">
        <f>M18+N16</f>
        <v/>
      </c>
      <c r="O18" s="7">
        <f>N18+O16</f>
        <v/>
      </c>
      <c r="P18" s="7">
        <f>O18+P16</f>
        <v/>
      </c>
      <c r="Q18" s="7">
        <f>P18+Q16</f>
        <v/>
      </c>
    </row>
    <row r="19">
      <c r="A19" s="9" t="inlineStr">
        <is>
          <t>Check vs. Python model (should be ~$0)</t>
        </is>
      </c>
      <c r="C19" s="7">
        <f>C16--9031820.0</f>
        <v/>
      </c>
      <c r="D19" s="7">
        <f>D16--358038.0</f>
        <v/>
      </c>
      <c r="E19" s="7">
        <f>E16-1036735.0</f>
        <v/>
      </c>
      <c r="F19" s="7">
        <f>F16-2927662.0</f>
        <v/>
      </c>
      <c r="G19" s="7">
        <f>G16-18581888.0</f>
        <v/>
      </c>
      <c r="H19" s="7">
        <f>H16-10857437.0</f>
        <v/>
      </c>
      <c r="I19" s="7">
        <f>I16-13475475.0</f>
        <v/>
      </c>
      <c r="J19" s="7">
        <f>J16-14655724.0</f>
        <v/>
      </c>
      <c r="K19" s="7">
        <f>K16-17127372.0</f>
        <v/>
      </c>
      <c r="L19" s="7">
        <f>L16-18316377.0</f>
        <v/>
      </c>
      <c r="M19" s="7">
        <f>M16-19477301.0</f>
        <v/>
      </c>
      <c r="N19" s="7">
        <f>N16-20433819.0</f>
        <v/>
      </c>
      <c r="O19" s="7">
        <f>O16-21229782.0</f>
        <v/>
      </c>
      <c r="P19" s="7">
        <f>P16-21849101.0</f>
        <v/>
      </c>
      <c r="Q19" s="7">
        <f>Q16-22272849.0</f>
        <v/>
      </c>
    </row>
  </sheetData>
  <mergeCells count="2">
    <mergeCell ref="A3:Q3"/>
    <mergeCell ref="A1:W1"/>
  </mergeCells>
  <conditionalFormatting sqref="C11:W11">
    <cfRule type="cellIs" priority="1" operator="greaterThan" dxfId="0">
      <formula>6</formula>
    </cfRule>
    <cfRule type="cellIs" priority="2" operator="lessThan" dxfId="0">
      <formula>-6</formula>
    </cfRule>
  </conditionalFormatting>
  <conditionalFormatting sqref="C19:W19">
    <cfRule type="cellIs" priority="3" operator="greaterThan" dxfId="0">
      <formula>6</formula>
    </cfRule>
    <cfRule type="cellIs" priority="4" operator="lessThan" dxfId="0">
      <formula>-6</formula>
    </cfRule>
  </conditionalFormatting>
  <pageMargins left="0.75" right="0.75" top="1" bottom="1" header="0.5" footer="0.5"/>
</worksheet>
</file>

<file path=xl/worksheets/sheet7.xml><?xml version="1.0" encoding="utf-8"?>
<worksheet xmlns="http://schemas.openxmlformats.org/spreadsheetml/2006/main">
  <sheetPr>
    <outlinePr summaryBelow="1" summaryRight="1"/>
    <pageSetUpPr/>
  </sheetPr>
  <dimension ref="A1:W88"/>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50"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Phase 2 — New-Growth Policy Scenarios, FY2026-2040</t>
        </is>
      </c>
    </row>
    <row r="2"/>
    <row r="3" ht="42" customHeight="1">
      <c r="A3" s="2" t="inlineStr">
        <is>
          <t>The core Prop 2.5 mechanics (5-category $ build, levy recursion) are LIVE - change any category share on the Assumptions tab and every year here recalculates. State Aid / Other Available Funds / Free Cash are identical to the Revenue tab's trend_corrected figures (referenced directly, not recomputed). Local Receipts and the implied-units/sqft physical translation are cited values (see Guide tab) - the same bespoke sub-models as the Revenue tab.</t>
        </is>
      </c>
    </row>
    <row r="4"/>
    <row r="5">
      <c r="A5" s="9" t="inlineStr">
        <is>
          <t>Fiscal year (number)</t>
        </is>
      </c>
      <c r="C5" t="n">
        <v>2026</v>
      </c>
      <c r="D5" t="n">
        <v>2027</v>
      </c>
      <c r="E5" t="n">
        <v>2028</v>
      </c>
      <c r="F5" t="n">
        <v>2029</v>
      </c>
      <c r="G5" t="n">
        <v>2030</v>
      </c>
      <c r="H5" t="n">
        <v>2031</v>
      </c>
      <c r="I5" t="n">
        <v>2032</v>
      </c>
      <c r="J5" t="n">
        <v>2033</v>
      </c>
      <c r="K5" t="n">
        <v>2034</v>
      </c>
      <c r="L5" t="n">
        <v>2035</v>
      </c>
      <c r="M5" t="n">
        <v>2036</v>
      </c>
      <c r="N5" t="n">
        <v>2037</v>
      </c>
      <c r="O5" t="n">
        <v>2038</v>
      </c>
      <c r="P5" t="n">
        <v>2039</v>
      </c>
      <c r="Q5" t="n">
        <v>2040</v>
      </c>
    </row>
    <row r="6"/>
    <row r="7">
      <c r="A7" s="3" t="inlineStr">
        <is>
          <t>Scenario: trend_continues</t>
        </is>
      </c>
    </row>
    <row r="8">
      <c r="A8" s="9" t="inlineStr">
        <is>
          <t>Residential new construction ($)</t>
        </is>
      </c>
      <c r="C8" s="7">
        <f>Assumptions!$B$38*('Historical FY05-25'!W13-'Historical FY05-25'!W11)</f>
        <v/>
      </c>
      <c r="D8" s="7">
        <f>Assumptions!$B$38*('Revenue FY26-40'!C12)</f>
        <v/>
      </c>
      <c r="E8" s="7">
        <f>Assumptions!$B$38*('Revenue FY26-40'!D12)</f>
        <v/>
      </c>
      <c r="F8" s="7">
        <f>Assumptions!$B$38*('Revenue FY26-40'!E12)</f>
        <v/>
      </c>
      <c r="G8" s="7">
        <f>Assumptions!$B$38*('Revenue FY26-40'!F12)</f>
        <v/>
      </c>
      <c r="H8" s="7">
        <f>Assumptions!$B$38*('Revenue FY26-40'!G12)</f>
        <v/>
      </c>
      <c r="I8" s="7">
        <f>Assumptions!$B$38*(H17)</f>
        <v/>
      </c>
      <c r="J8" s="7">
        <f>Assumptions!$B$38*(I17)</f>
        <v/>
      </c>
      <c r="K8" s="7">
        <f>Assumptions!$B$38*(J17)</f>
        <v/>
      </c>
      <c r="L8" s="7">
        <f>Assumptions!$B$38*(K17)</f>
        <v/>
      </c>
      <c r="M8" s="7">
        <f>Assumptions!$B$38*(L17)</f>
        <v/>
      </c>
      <c r="N8" s="7">
        <f>Assumptions!$B$38*(M17)</f>
        <v/>
      </c>
      <c r="O8" s="7">
        <f>Assumptions!$B$38*(N17)</f>
        <v/>
      </c>
      <c r="P8" s="7">
        <f>Assumptions!$B$38*(O17)</f>
        <v/>
      </c>
      <c r="Q8" s="7">
        <f>Assumptions!$B$38*(P17)</f>
        <v/>
      </c>
    </row>
    <row r="9">
      <c r="A9" s="9" t="inlineStr">
        <is>
          <t>Residential renovation ($)</t>
        </is>
      </c>
      <c r="C9" s="7">
        <f>Assumptions!$B$39*('Historical FY05-25'!W13-'Historical FY05-25'!W11)</f>
        <v/>
      </c>
      <c r="D9" s="7">
        <f>Assumptions!$B$39*('Revenue FY26-40'!C12)</f>
        <v/>
      </c>
      <c r="E9" s="7">
        <f>Assumptions!$B$39*('Revenue FY26-40'!D12)</f>
        <v/>
      </c>
      <c r="F9" s="7">
        <f>Assumptions!$B$39*('Revenue FY26-40'!E12)</f>
        <v/>
      </c>
      <c r="G9" s="7">
        <f>Assumptions!$B$39*('Revenue FY26-40'!F12)</f>
        <v/>
      </c>
      <c r="H9" s="7">
        <f>Assumptions!$B$39*('Revenue FY26-40'!G12)</f>
        <v/>
      </c>
      <c r="I9" s="7">
        <f>Assumptions!$B$39*(H17)</f>
        <v/>
      </c>
      <c r="J9" s="7">
        <f>Assumptions!$B$39*(I17)</f>
        <v/>
      </c>
      <c r="K9" s="7">
        <f>Assumptions!$B$39*(J17)</f>
        <v/>
      </c>
      <c r="L9" s="7">
        <f>Assumptions!$B$39*(K17)</f>
        <v/>
      </c>
      <c r="M9" s="7">
        <f>Assumptions!$B$39*(L17)</f>
        <v/>
      </c>
      <c r="N9" s="7">
        <f>Assumptions!$B$39*(M17)</f>
        <v/>
      </c>
      <c r="O9" s="7">
        <f>Assumptions!$B$39*(N17)</f>
        <v/>
      </c>
      <c r="P9" s="7">
        <f>Assumptions!$B$39*(O17)</f>
        <v/>
      </c>
      <c r="Q9" s="7">
        <f>Assumptions!$B$39*(P17)</f>
        <v/>
      </c>
    </row>
    <row r="10">
      <c r="A10" s="9" t="inlineStr">
        <is>
          <t>Commercial new construction ($)</t>
        </is>
      </c>
      <c r="C10" s="7">
        <f>Assumptions!$B$40*('Historical FY05-25'!W13-'Historical FY05-25'!W11)</f>
        <v/>
      </c>
      <c r="D10" s="7">
        <f>Assumptions!$B$40*('Revenue FY26-40'!C12)</f>
        <v/>
      </c>
      <c r="E10" s="7">
        <f>Assumptions!$B$40*('Revenue FY26-40'!D12)</f>
        <v/>
      </c>
      <c r="F10" s="7">
        <f>Assumptions!$B$40*('Revenue FY26-40'!E12)</f>
        <v/>
      </c>
      <c r="G10" s="7">
        <f>Assumptions!$B$40*('Revenue FY26-40'!F12)</f>
        <v/>
      </c>
      <c r="H10" s="7">
        <f>Assumptions!$B$40*('Revenue FY26-40'!G12)</f>
        <v/>
      </c>
      <c r="I10" s="7">
        <f>Assumptions!$B$40*(H17)</f>
        <v/>
      </c>
      <c r="J10" s="7">
        <f>Assumptions!$B$40*(I17)</f>
        <v/>
      </c>
      <c r="K10" s="7">
        <f>Assumptions!$B$40*(J17)</f>
        <v/>
      </c>
      <c r="L10" s="7">
        <f>Assumptions!$B$40*(K17)</f>
        <v/>
      </c>
      <c r="M10" s="7">
        <f>Assumptions!$B$40*(L17)</f>
        <v/>
      </c>
      <c r="N10" s="7">
        <f>Assumptions!$B$40*(M17)</f>
        <v/>
      </c>
      <c r="O10" s="7">
        <f>Assumptions!$B$40*(N17)</f>
        <v/>
      </c>
      <c r="P10" s="7">
        <f>Assumptions!$B$40*(O17)</f>
        <v/>
      </c>
      <c r="Q10" s="7">
        <f>Assumptions!$B$40*(P17)</f>
        <v/>
      </c>
    </row>
    <row r="11">
      <c r="A11" s="9" t="inlineStr">
        <is>
          <t>Commercial renovation ($)</t>
        </is>
      </c>
      <c r="C11" s="7">
        <f>Assumptions!$B$41*('Historical FY05-25'!W13-'Historical FY05-25'!W11)</f>
        <v/>
      </c>
      <c r="D11" s="7">
        <f>Assumptions!$B$41*('Revenue FY26-40'!C12)</f>
        <v/>
      </c>
      <c r="E11" s="7">
        <f>Assumptions!$B$41*('Revenue FY26-40'!D12)</f>
        <v/>
      </c>
      <c r="F11" s="7">
        <f>Assumptions!$B$41*('Revenue FY26-40'!E12)</f>
        <v/>
      </c>
      <c r="G11" s="7">
        <f>Assumptions!$B$41*('Revenue FY26-40'!F12)</f>
        <v/>
      </c>
      <c r="H11" s="7">
        <f>Assumptions!$B$41*('Revenue FY26-40'!G12)</f>
        <v/>
      </c>
      <c r="I11" s="7">
        <f>Assumptions!$B$41*(H17)</f>
        <v/>
      </c>
      <c r="J11" s="7">
        <f>Assumptions!$B$41*(I17)</f>
        <v/>
      </c>
      <c r="K11" s="7">
        <f>Assumptions!$B$41*(J17)</f>
        <v/>
      </c>
      <c r="L11" s="7">
        <f>Assumptions!$B$41*(K17)</f>
        <v/>
      </c>
      <c r="M11" s="7">
        <f>Assumptions!$B$41*(L17)</f>
        <v/>
      </c>
      <c r="N11" s="7">
        <f>Assumptions!$B$41*(M17)</f>
        <v/>
      </c>
      <c r="O11" s="7">
        <f>Assumptions!$B$41*(N17)</f>
        <v/>
      </c>
      <c r="P11" s="7">
        <f>Assumptions!$B$41*(O17)</f>
        <v/>
      </c>
      <c r="Q11" s="7">
        <f>Assumptions!$B$41*(P17)</f>
        <v/>
      </c>
    </row>
    <row r="12">
      <c r="A12" s="9" t="inlineStr">
        <is>
          <t>Commercial personal property ($)</t>
        </is>
      </c>
      <c r="C12" s="7">
        <f>Assumptions!$B$42*('Historical FY05-25'!W13-'Historical FY05-25'!W11)</f>
        <v/>
      </c>
      <c r="D12" s="7">
        <f>Assumptions!$B$42*('Revenue FY26-40'!C12)</f>
        <v/>
      </c>
      <c r="E12" s="7">
        <f>Assumptions!$B$42*('Revenue FY26-40'!D12)</f>
        <v/>
      </c>
      <c r="F12" s="7">
        <f>Assumptions!$B$42*('Revenue FY26-40'!E12)</f>
        <v/>
      </c>
      <c r="G12" s="7">
        <f>Assumptions!$B$42*('Revenue FY26-40'!F12)</f>
        <v/>
      </c>
      <c r="H12" s="7">
        <f>Assumptions!$B$42*('Revenue FY26-40'!G12)</f>
        <v/>
      </c>
      <c r="I12" s="7">
        <f>Assumptions!$B$42*(H17)</f>
        <v/>
      </c>
      <c r="J12" s="7">
        <f>Assumptions!$B$42*(I17)</f>
        <v/>
      </c>
      <c r="K12" s="7">
        <f>Assumptions!$B$42*(J17)</f>
        <v/>
      </c>
      <c r="L12" s="7">
        <f>Assumptions!$B$42*(K17)</f>
        <v/>
      </c>
      <c r="M12" s="7">
        <f>Assumptions!$B$42*(L17)</f>
        <v/>
      </c>
      <c r="N12" s="7">
        <f>Assumptions!$B$42*(M17)</f>
        <v/>
      </c>
      <c r="O12" s="7">
        <f>Assumptions!$B$42*(N17)</f>
        <v/>
      </c>
      <c r="P12" s="7">
        <f>Assumptions!$B$42*(O17)</f>
        <v/>
      </c>
      <c r="Q12" s="7">
        <f>Assumptions!$B$42*(P17)</f>
        <v/>
      </c>
    </row>
    <row r="13">
      <c r="A13" s="9" t="inlineStr">
        <is>
          <t>CHCA property tax (level, City Realty avg)</t>
        </is>
      </c>
      <c r="C13" s="7">
        <f>IF(C5&lt;2032,0,IF(C5&gt;=2035,Assumptions!$B$26,Assumptions!$B$26*(C5-2032+1)/3))</f>
        <v/>
      </c>
      <c r="D13" s="7">
        <f>IF(D5&lt;2032,0,IF(D5&gt;=2035,Assumptions!$B$26,Assumptions!$B$26*(D5-2032+1)/3))</f>
        <v/>
      </c>
      <c r="E13" s="7">
        <f>IF(E5&lt;2032,0,IF(E5&gt;=2035,Assumptions!$B$26,Assumptions!$B$26*(E5-2032+1)/3))</f>
        <v/>
      </c>
      <c r="F13" s="7">
        <f>IF(F5&lt;2032,0,IF(F5&gt;=2035,Assumptions!$B$26,Assumptions!$B$26*(F5-2032+1)/3))</f>
        <v/>
      </c>
      <c r="G13" s="7">
        <f>IF(G5&lt;2032,0,IF(G5&gt;=2035,Assumptions!$B$26,Assumptions!$B$26*(G5-2032+1)/3))</f>
        <v/>
      </c>
      <c r="H13" s="7">
        <f>IF(H5&lt;2032,0,IF(H5&gt;=2035,Assumptions!$B$26,Assumptions!$B$26*(H5-2032+1)/3))</f>
        <v/>
      </c>
      <c r="I13" s="7">
        <f>IF(I5&lt;2032,0,IF(I5&gt;=2035,Assumptions!$B$26,Assumptions!$B$26*(I5-2032+1)/3))</f>
        <v/>
      </c>
      <c r="J13" s="7">
        <f>IF(J5&lt;2032,0,IF(J5&gt;=2035,Assumptions!$B$26,Assumptions!$B$26*(J5-2032+1)/3))</f>
        <v/>
      </c>
      <c r="K13" s="7">
        <f>IF(K5&lt;2032,0,IF(K5&gt;=2035,Assumptions!$B$26,Assumptions!$B$26*(K5-2032+1)/3))</f>
        <v/>
      </c>
      <c r="L13" s="7">
        <f>IF(L5&lt;2032,0,IF(L5&gt;=2035,Assumptions!$B$26,Assumptions!$B$26*(L5-2032+1)/3))</f>
        <v/>
      </c>
      <c r="M13" s="7">
        <f>IF(M5&lt;2032,0,IF(M5&gt;=2035,Assumptions!$B$26,Assumptions!$B$26*(M5-2032+1)/3))</f>
        <v/>
      </c>
      <c r="N13" s="7">
        <f>IF(N5&lt;2032,0,IF(N5&gt;=2035,Assumptions!$B$26,Assumptions!$B$26*(N5-2032+1)/3))</f>
        <v/>
      </c>
      <c r="O13" s="7">
        <f>IF(O5&lt;2032,0,IF(O5&gt;=2035,Assumptions!$B$26,Assumptions!$B$26*(O5-2032+1)/3))</f>
        <v/>
      </c>
      <c r="P13" s="7">
        <f>IF(P5&lt;2032,0,IF(P5&gt;=2035,Assumptions!$B$26,Assumptions!$B$26*(P5-2032+1)/3))</f>
        <v/>
      </c>
      <c r="Q13" s="7">
        <f>IF(Q5&lt;2032,0,IF(Q5&gt;=2035,Assumptions!$B$26,Assumptions!$B$26*(Q5-2032+1)/3))</f>
        <v/>
      </c>
    </row>
    <row r="14">
      <c r="A14" s="9" t="inlineStr">
        <is>
          <t>CHCA property tax increment</t>
        </is>
      </c>
      <c r="C14" s="7">
        <f>C13-0</f>
        <v/>
      </c>
      <c r="D14" s="7">
        <f>D13-C13</f>
        <v/>
      </c>
      <c r="E14" s="7">
        <f>E13-D13</f>
        <v/>
      </c>
      <c r="F14" s="7">
        <f>F13-E13</f>
        <v/>
      </c>
      <c r="G14" s="7">
        <f>G13-F13</f>
        <v/>
      </c>
      <c r="H14" s="7">
        <f>H13-G13</f>
        <v/>
      </c>
      <c r="I14" s="7">
        <f>I13-H13</f>
        <v/>
      </c>
      <c r="J14" s="7">
        <f>J13-I13</f>
        <v/>
      </c>
      <c r="K14" s="7">
        <f>K13-J13</f>
        <v/>
      </c>
      <c r="L14" s="7">
        <f>L13-K13</f>
        <v/>
      </c>
      <c r="M14" s="7">
        <f>M13-L13</f>
        <v/>
      </c>
      <c r="N14" s="7">
        <f>N13-M13</f>
        <v/>
      </c>
      <c r="O14" s="7">
        <f>O13-N13</f>
        <v/>
      </c>
      <c r="P14" s="7">
        <f>P13-O13</f>
        <v/>
      </c>
      <c r="Q14" s="7">
        <f>Q13-P13</f>
        <v/>
      </c>
    </row>
    <row r="15">
      <c r="A15" s="8" t="inlineStr">
        <is>
          <t>New growth, TOTAL ($, incl. CHCA increment)</t>
        </is>
      </c>
      <c r="C15" s="7">
        <f>SUM(C8:C12)+C14</f>
        <v/>
      </c>
      <c r="D15" s="7">
        <f>SUM(D8:D12)+D14</f>
        <v/>
      </c>
      <c r="E15" s="7">
        <f>SUM(E8:E12)+E14</f>
        <v/>
      </c>
      <c r="F15" s="7">
        <f>SUM(F8:F12)+F14</f>
        <v/>
      </c>
      <c r="G15" s="7">
        <f>SUM(G8:G12)+G14</f>
        <v/>
      </c>
      <c r="H15" s="7">
        <f>SUM(H8:H12)+H14</f>
        <v/>
      </c>
      <c r="I15" s="7">
        <f>SUM(I8:I12)+I14</f>
        <v/>
      </c>
      <c r="J15" s="7">
        <f>SUM(J8:J12)+J14</f>
        <v/>
      </c>
      <c r="K15" s="7">
        <f>SUM(K8:K12)+K14</f>
        <v/>
      </c>
      <c r="L15" s="7">
        <f>SUM(L8:L12)+L14</f>
        <v/>
      </c>
      <c r="M15" s="7">
        <f>SUM(M8:M12)+M14</f>
        <v/>
      </c>
      <c r="N15" s="7">
        <f>SUM(N8:N12)+N14</f>
        <v/>
      </c>
      <c r="O15" s="7">
        <f>SUM(O8:O12)+O14</f>
        <v/>
      </c>
      <c r="P15" s="7">
        <f>SUM(P8:P12)+P14</f>
        <v/>
      </c>
      <c r="Q15" s="7">
        <f>SUM(Q8:Q12)+Q14</f>
        <v/>
      </c>
    </row>
    <row r="16">
      <c r="A16" s="9" t="inlineStr">
        <is>
          <t>Diff (delta method, TOWN_YEARS only)</t>
        </is>
      </c>
      <c r="C16" s="7">
        <f>0*1.025+(C15-Assumptions!$B$11)</f>
        <v/>
      </c>
      <c r="D16" s="7">
        <f>C16*1.025+(D15-Assumptions!$B$11)</f>
        <v/>
      </c>
      <c r="E16" s="7">
        <f>D16*1.025+(E15-Assumptions!$B$11)</f>
        <v/>
      </c>
      <c r="F16" s="7">
        <f>E16*1.025+(F15-Assumptions!$B$11)</f>
        <v/>
      </c>
      <c r="G16" s="7">
        <f>F16*1.025+(G15-Assumptions!$B$11)</f>
        <v/>
      </c>
      <c r="H16" s="7">
        <f>G16*1.025+(H15-Assumptions!$B$11)</f>
        <v/>
      </c>
    </row>
    <row r="17">
      <c r="A17" s="8" t="inlineStr">
        <is>
          <t>PROPERTY TAX OPERATING (levy limit)</t>
        </is>
      </c>
      <c r="C17" s="7">
        <f>'Revenue FY26-40'!C12+C16</f>
        <v/>
      </c>
      <c r="D17" s="7">
        <f>'Revenue FY26-40'!D12+D16</f>
        <v/>
      </c>
      <c r="E17" s="7">
        <f>'Revenue FY26-40'!E12+E16</f>
        <v/>
      </c>
      <c r="F17" s="7">
        <f>'Revenue FY26-40'!F12+F16</f>
        <v/>
      </c>
      <c r="G17" s="7">
        <f>'Revenue FY26-40'!G12+G16</f>
        <v/>
      </c>
      <c r="H17" s="7">
        <f>'Revenue FY26-40'!H12+H16</f>
        <v/>
      </c>
      <c r="I17" s="7">
        <f>H17*1.025+I15</f>
        <v/>
      </c>
      <c r="J17" s="7">
        <f>I17*1.025+J15</f>
        <v/>
      </c>
      <c r="K17" s="7">
        <f>J17*1.025+K15</f>
        <v/>
      </c>
      <c r="L17" s="7">
        <f>K17*1.025+L15</f>
        <v/>
      </c>
      <c r="M17" s="7">
        <f>L17*1.025+M15</f>
        <v/>
      </c>
      <c r="N17" s="7">
        <f>M17*1.025+N15</f>
        <v/>
      </c>
      <c r="O17" s="7">
        <f>N17*1.025+O15</f>
        <v/>
      </c>
      <c r="P17" s="7">
        <f>O17*1.025+P15</f>
        <v/>
      </c>
      <c r="Q17" s="7">
        <f>P17*1.025+Q15</f>
        <v/>
      </c>
    </row>
    <row r="18">
      <c r="A18" s="9" t="inlineStr">
        <is>
          <t>Debt Exclusion Revenue (= Revenue tab)</t>
        </is>
      </c>
      <c r="C18" s="7">
        <f>'Revenue FY26-40'!C13</f>
        <v/>
      </c>
      <c r="D18" s="7">
        <f>'Revenue FY26-40'!D13</f>
        <v/>
      </c>
      <c r="E18" s="7">
        <f>'Revenue FY26-40'!E13</f>
        <v/>
      </c>
      <c r="F18" s="7">
        <f>'Revenue FY26-40'!F13</f>
        <v/>
      </c>
      <c r="G18" s="7">
        <f>'Revenue FY26-40'!G13</f>
        <v/>
      </c>
      <c r="H18" s="7">
        <f>'Revenue FY26-40'!H13</f>
        <v/>
      </c>
      <c r="I18" s="7">
        <f>'Revenue FY26-40'!I13</f>
        <v/>
      </c>
      <c r="J18" s="7">
        <f>'Revenue FY26-40'!J13</f>
        <v/>
      </c>
      <c r="K18" s="7">
        <f>'Revenue FY26-40'!K13</f>
        <v/>
      </c>
      <c r="L18" s="7">
        <f>'Revenue FY26-40'!L13</f>
        <v/>
      </c>
      <c r="M18" s="7">
        <f>'Revenue FY26-40'!M13</f>
        <v/>
      </c>
      <c r="N18" s="7">
        <f>'Revenue FY26-40'!N13</f>
        <v/>
      </c>
      <c r="O18" s="7">
        <f>'Revenue FY26-40'!O13</f>
        <v/>
      </c>
      <c r="P18" s="7">
        <f>'Revenue FY26-40'!P13</f>
        <v/>
      </c>
      <c r="Q18" s="7">
        <f>'Revenue FY26-40'!Q13</f>
        <v/>
      </c>
    </row>
    <row r="19">
      <c r="A19" s="8" t="inlineStr">
        <is>
          <t>PROPERTY TAXES</t>
        </is>
      </c>
      <c r="C19" s="7">
        <f>C17+C18</f>
        <v/>
      </c>
      <c r="D19" s="7">
        <f>D17+D18</f>
        <v/>
      </c>
      <c r="E19" s="7">
        <f>E17+E18</f>
        <v/>
      </c>
      <c r="F19" s="7">
        <f>F17+F18</f>
        <v/>
      </c>
      <c r="G19" s="7">
        <f>G17+G18</f>
        <v/>
      </c>
      <c r="H19" s="7">
        <f>H17+H18</f>
        <v/>
      </c>
      <c r="I19" s="7">
        <f>I17+I18</f>
        <v/>
      </c>
      <c r="J19" s="7">
        <f>J17+J18</f>
        <v/>
      </c>
      <c r="K19" s="7">
        <f>K17+K18</f>
        <v/>
      </c>
      <c r="L19" s="7">
        <f>L17+L18</f>
        <v/>
      </c>
      <c r="M19" s="7">
        <f>M17+M18</f>
        <v/>
      </c>
      <c r="N19" s="7">
        <f>N17+N18</f>
        <v/>
      </c>
      <c r="O19" s="7">
        <f>O17+O18</f>
        <v/>
      </c>
      <c r="P19" s="7">
        <f>P17+P18</f>
        <v/>
      </c>
      <c r="Q19" s="7">
        <f>Q17+Q18</f>
        <v/>
      </c>
    </row>
    <row r="20">
      <c r="A20" s="9" t="inlineStr">
        <is>
          <t>State Aid (= Revenue tab, trend_corrected)</t>
        </is>
      </c>
      <c r="C20" s="7">
        <f>'Revenue FY26-40'!C40</f>
        <v/>
      </c>
      <c r="D20" s="7">
        <f>'Revenue FY26-40'!D40</f>
        <v/>
      </c>
      <c r="E20" s="7">
        <f>'Revenue FY26-40'!E40</f>
        <v/>
      </c>
      <c r="F20" s="7">
        <f>'Revenue FY26-40'!F40</f>
        <v/>
      </c>
      <c r="G20" s="7">
        <f>'Revenue FY26-40'!G40</f>
        <v/>
      </c>
      <c r="H20" s="7">
        <f>'Revenue FY26-40'!H40</f>
        <v/>
      </c>
      <c r="I20" s="7">
        <f>'Revenue FY26-40'!I40</f>
        <v/>
      </c>
      <c r="J20" s="7">
        <f>'Revenue FY26-40'!J40</f>
        <v/>
      </c>
      <c r="K20" s="7">
        <f>'Revenue FY26-40'!K40</f>
        <v/>
      </c>
      <c r="L20" s="7">
        <f>'Revenue FY26-40'!L40</f>
        <v/>
      </c>
      <c r="M20" s="7">
        <f>'Revenue FY26-40'!M40</f>
        <v/>
      </c>
      <c r="N20" s="7">
        <f>'Revenue FY26-40'!N40</f>
        <v/>
      </c>
      <c r="O20" s="7">
        <f>'Revenue FY26-40'!O40</f>
        <v/>
      </c>
      <c r="P20" s="7">
        <f>'Revenue FY26-40'!P40</f>
        <v/>
      </c>
      <c r="Q20" s="7">
        <f>'Revenue FY26-40'!Q40</f>
        <v/>
      </c>
    </row>
    <row r="21">
      <c r="A21" s="6" t="inlineStr">
        <is>
          <t>Local Receipts (cited - bespoke sub-model)</t>
        </is>
      </c>
      <c r="C21" s="7" t="n">
        <v>35011636</v>
      </c>
      <c r="D21" s="7" t="n">
        <v>37633556</v>
      </c>
      <c r="E21" s="7" t="n">
        <v>37966223</v>
      </c>
      <c r="F21" s="7" t="n">
        <v>39393706</v>
      </c>
      <c r="G21" s="7" t="n">
        <v>40906855</v>
      </c>
      <c r="H21" s="7" t="n">
        <v>42349500</v>
      </c>
      <c r="I21" s="7" t="n">
        <v>44247401</v>
      </c>
      <c r="J21" s="7" t="n">
        <v>46097625</v>
      </c>
      <c r="K21" s="7" t="n">
        <v>48009144</v>
      </c>
      <c r="L21" s="7" t="n">
        <v>49756606</v>
      </c>
      <c r="M21" s="7" t="n">
        <v>51540285</v>
      </c>
      <c r="N21" s="7" t="n">
        <v>53391175</v>
      </c>
      <c r="O21" s="7" t="n">
        <v>55311926</v>
      </c>
      <c r="P21" s="7" t="n">
        <v>57305302</v>
      </c>
      <c r="Q21" s="7" t="n">
        <v>59374181</v>
      </c>
    </row>
    <row r="22">
      <c r="A22" s="9" t="inlineStr">
        <is>
          <t>Other Available Funds (= Revenue tab)</t>
        </is>
      </c>
      <c r="C22" s="7">
        <f>'Revenue FY26-40'!C16</f>
        <v/>
      </c>
      <c r="D22" s="7">
        <f>'Revenue FY26-40'!D16</f>
        <v/>
      </c>
      <c r="E22" s="7">
        <f>'Revenue FY26-40'!E16</f>
        <v/>
      </c>
      <c r="F22" s="7">
        <f>'Revenue FY26-40'!F16</f>
        <v/>
      </c>
      <c r="G22" s="7">
        <f>'Revenue FY26-40'!G16</f>
        <v/>
      </c>
      <c r="H22" s="7">
        <f>'Revenue FY26-40'!H16</f>
        <v/>
      </c>
      <c r="I22" s="7">
        <f>'Revenue FY26-40'!I16</f>
        <v/>
      </c>
      <c r="J22" s="7">
        <f>'Revenue FY26-40'!J16</f>
        <v/>
      </c>
      <c r="K22" s="7">
        <f>'Revenue FY26-40'!K16</f>
        <v/>
      </c>
      <c r="L22" s="7">
        <f>'Revenue FY26-40'!L16</f>
        <v/>
      </c>
      <c r="M22" s="7">
        <f>'Revenue FY26-40'!M16</f>
        <v/>
      </c>
      <c r="N22" s="7">
        <f>'Revenue FY26-40'!N16</f>
        <v/>
      </c>
      <c r="O22" s="7">
        <f>'Revenue FY26-40'!O16</f>
        <v/>
      </c>
      <c r="P22" s="7">
        <f>'Revenue FY26-40'!P16</f>
        <v/>
      </c>
      <c r="Q22" s="7">
        <f>'Revenue FY26-40'!Q16</f>
        <v/>
      </c>
    </row>
    <row r="23">
      <c r="A23" s="6" t="inlineStr">
        <is>
          <t>Free Cash (cited - two-year cash cycle for this scenario)</t>
        </is>
      </c>
      <c r="C23" s="7" t="n">
        <v>21303316</v>
      </c>
      <c r="D23" s="7" t="n">
        <v>18280805</v>
      </c>
      <c r="E23" s="7" t="n">
        <v>22303377</v>
      </c>
      <c r="F23" s="7" t="n">
        <v>22755456</v>
      </c>
      <c r="G23" s="7" t="n">
        <v>24708179</v>
      </c>
      <c r="H23" s="7" t="n">
        <v>25831630</v>
      </c>
      <c r="I23" s="7" t="n">
        <v>26802780</v>
      </c>
      <c r="J23" s="7" t="n">
        <v>27677015</v>
      </c>
      <c r="K23" s="7" t="n">
        <v>28821789</v>
      </c>
      <c r="L23" s="7" t="n">
        <v>29968112</v>
      </c>
      <c r="M23" s="7" t="n">
        <v>31161857</v>
      </c>
      <c r="N23" s="7" t="n">
        <v>32272224</v>
      </c>
      <c r="O23" s="7" t="n">
        <v>33415154</v>
      </c>
      <c r="P23" s="7" t="n">
        <v>34597375</v>
      </c>
      <c r="Q23" s="7" t="n">
        <v>35823871</v>
      </c>
    </row>
    <row r="24">
      <c r="A24" s="8" t="inlineStr">
        <is>
          <t>TOTAL REVENUE</t>
        </is>
      </c>
      <c r="C24" s="7">
        <f>C19+C20+C21+C22+C23</f>
        <v/>
      </c>
      <c r="D24" s="7">
        <f>D19+D20+D21+D22+D23</f>
        <v/>
      </c>
      <c r="E24" s="7">
        <f>E19+E20+E21+E22+E23</f>
        <v/>
      </c>
      <c r="F24" s="7">
        <f>F19+F20+F21+F22+F23</f>
        <v/>
      </c>
      <c r="G24" s="7">
        <f>G19+G20+G21+G22+G23</f>
        <v/>
      </c>
      <c r="H24" s="7">
        <f>H19+H20+H21+H22+H23</f>
        <v/>
      </c>
      <c r="I24" s="7">
        <f>I19+I20+I21+I22+I23</f>
        <v/>
      </c>
      <c r="J24" s="7">
        <f>J19+J20+J21+J22+J23</f>
        <v/>
      </c>
      <c r="K24" s="7">
        <f>K19+K20+K21+K22+K23</f>
        <v/>
      </c>
      <c r="L24" s="7">
        <f>L19+L20+L21+L22+L23</f>
        <v/>
      </c>
      <c r="M24" s="7">
        <f>M19+M20+M21+M22+M23</f>
        <v/>
      </c>
      <c r="N24" s="7">
        <f>N19+N20+N21+N22+N23</f>
        <v/>
      </c>
      <c r="O24" s="7">
        <f>O19+O20+O21+O22+O23</f>
        <v/>
      </c>
      <c r="P24" s="7">
        <f>P19+P20+P21+P22+P23</f>
        <v/>
      </c>
      <c r="Q24" s="7">
        <f>Q19+Q20+Q21+Q22+Q23</f>
        <v/>
      </c>
    </row>
    <row r="25">
      <c r="A25" s="9" t="inlineStr">
        <is>
          <t>Check vs. Python model (should be ~$0)</t>
        </is>
      </c>
      <c r="C25" s="7">
        <f>C24-420886191.0</f>
        <v/>
      </c>
      <c r="D25" s="7">
        <f>D24-453370237.0</f>
        <v/>
      </c>
      <c r="E25" s="7">
        <f>E24-474350295.0</f>
        <v/>
      </c>
      <c r="F25" s="7">
        <f>F24-498862232.0</f>
        <v/>
      </c>
      <c r="G25" s="7">
        <f>G24-517300616.0</f>
        <v/>
      </c>
      <c r="H25" s="7">
        <f>H24-533105845.0</f>
        <v/>
      </c>
      <c r="I25" s="7">
        <f>I24-553715307.0</f>
        <v/>
      </c>
      <c r="J25" s="7">
        <f>J24-574847657.0</f>
        <v/>
      </c>
      <c r="K25" s="7">
        <f>K24-597004442.0</f>
        <v/>
      </c>
      <c r="L25" s="7">
        <f>L24-617914635.0</f>
        <v/>
      </c>
      <c r="M25" s="7">
        <f>M24-639586089.0</f>
        <v/>
      </c>
      <c r="N25" s="7">
        <f>N24-661944490.0</f>
        <v/>
      </c>
      <c r="O25" s="7">
        <f>O24-685134880.0</f>
        <v/>
      </c>
      <c r="P25" s="7">
        <f>P24-709194198.0</f>
        <v/>
      </c>
      <c r="Q25" s="7">
        <f>Q24-734158788.0</f>
        <v/>
      </c>
    </row>
    <row r="26"/>
    <row r="27"/>
    <row r="28">
      <c r="A28" s="3" t="inlineStr">
        <is>
          <t>Scenario: peer_target_residential_led</t>
        </is>
      </c>
    </row>
    <row r="29">
      <c r="A29" s="9" t="inlineStr">
        <is>
          <t>Residential new construction ($)</t>
        </is>
      </c>
      <c r="C29" s="7">
        <f>Assumptions!$C$38*('Historical FY05-25'!W13-'Historical FY05-25'!W11)</f>
        <v/>
      </c>
      <c r="D29" s="7">
        <f>Assumptions!$C$38*('Revenue FY26-40'!C12)</f>
        <v/>
      </c>
      <c r="E29" s="7">
        <f>Assumptions!$C$38*('Revenue FY26-40'!D12)</f>
        <v/>
      </c>
      <c r="F29" s="7">
        <f>Assumptions!$C$38*('Revenue FY26-40'!E12)</f>
        <v/>
      </c>
      <c r="G29" s="7">
        <f>Assumptions!$C$38*('Revenue FY26-40'!F12)</f>
        <v/>
      </c>
      <c r="H29" s="7">
        <f>Assumptions!$C$38*('Revenue FY26-40'!G12)</f>
        <v/>
      </c>
      <c r="I29" s="7">
        <f>Assumptions!$C$38*(H38)</f>
        <v/>
      </c>
      <c r="J29" s="7">
        <f>Assumptions!$C$38*(I38)</f>
        <v/>
      </c>
      <c r="K29" s="7">
        <f>Assumptions!$C$38*(J38)</f>
        <v/>
      </c>
      <c r="L29" s="7">
        <f>Assumptions!$C$38*(K38)</f>
        <v/>
      </c>
      <c r="M29" s="7">
        <f>Assumptions!$C$38*(L38)</f>
        <v/>
      </c>
      <c r="N29" s="7">
        <f>Assumptions!$C$38*(M38)</f>
        <v/>
      </c>
      <c r="O29" s="7">
        <f>Assumptions!$C$38*(N38)</f>
        <v/>
      </c>
      <c r="P29" s="7">
        <f>Assumptions!$C$38*(O38)</f>
        <v/>
      </c>
      <c r="Q29" s="7">
        <f>Assumptions!$C$38*(P38)</f>
        <v/>
      </c>
    </row>
    <row r="30">
      <c r="A30" s="9" t="inlineStr">
        <is>
          <t>Residential renovation ($)</t>
        </is>
      </c>
      <c r="C30" s="7">
        <f>Assumptions!$C$39*('Historical FY05-25'!W13-'Historical FY05-25'!W11)</f>
        <v/>
      </c>
      <c r="D30" s="7">
        <f>Assumptions!$C$39*('Revenue FY26-40'!C12)</f>
        <v/>
      </c>
      <c r="E30" s="7">
        <f>Assumptions!$C$39*('Revenue FY26-40'!D12)</f>
        <v/>
      </c>
      <c r="F30" s="7">
        <f>Assumptions!$C$39*('Revenue FY26-40'!E12)</f>
        <v/>
      </c>
      <c r="G30" s="7">
        <f>Assumptions!$C$39*('Revenue FY26-40'!F12)</f>
        <v/>
      </c>
      <c r="H30" s="7">
        <f>Assumptions!$C$39*('Revenue FY26-40'!G12)</f>
        <v/>
      </c>
      <c r="I30" s="7">
        <f>Assumptions!$C$39*(H38)</f>
        <v/>
      </c>
      <c r="J30" s="7">
        <f>Assumptions!$C$39*(I38)</f>
        <v/>
      </c>
      <c r="K30" s="7">
        <f>Assumptions!$C$39*(J38)</f>
        <v/>
      </c>
      <c r="L30" s="7">
        <f>Assumptions!$C$39*(K38)</f>
        <v/>
      </c>
      <c r="M30" s="7">
        <f>Assumptions!$C$39*(L38)</f>
        <v/>
      </c>
      <c r="N30" s="7">
        <f>Assumptions!$C$39*(M38)</f>
        <v/>
      </c>
      <c r="O30" s="7">
        <f>Assumptions!$C$39*(N38)</f>
        <v/>
      </c>
      <c r="P30" s="7">
        <f>Assumptions!$C$39*(O38)</f>
        <v/>
      </c>
      <c r="Q30" s="7">
        <f>Assumptions!$C$39*(P38)</f>
        <v/>
      </c>
    </row>
    <row r="31">
      <c r="A31" s="9" t="inlineStr">
        <is>
          <t>Commercial new construction ($)</t>
        </is>
      </c>
      <c r="C31" s="7">
        <f>Assumptions!$C$40*('Historical FY05-25'!W13-'Historical FY05-25'!W11)</f>
        <v/>
      </c>
      <c r="D31" s="7">
        <f>Assumptions!$C$40*('Revenue FY26-40'!C12)</f>
        <v/>
      </c>
      <c r="E31" s="7">
        <f>Assumptions!$C$40*('Revenue FY26-40'!D12)</f>
        <v/>
      </c>
      <c r="F31" s="7">
        <f>Assumptions!$C$40*('Revenue FY26-40'!E12)</f>
        <v/>
      </c>
      <c r="G31" s="7">
        <f>Assumptions!$C$40*('Revenue FY26-40'!F12)</f>
        <v/>
      </c>
      <c r="H31" s="7">
        <f>Assumptions!$C$40*('Revenue FY26-40'!G12)</f>
        <v/>
      </c>
      <c r="I31" s="7">
        <f>Assumptions!$C$40*(H38)</f>
        <v/>
      </c>
      <c r="J31" s="7">
        <f>Assumptions!$C$40*(I38)</f>
        <v/>
      </c>
      <c r="K31" s="7">
        <f>Assumptions!$C$40*(J38)</f>
        <v/>
      </c>
      <c r="L31" s="7">
        <f>Assumptions!$C$40*(K38)</f>
        <v/>
      </c>
      <c r="M31" s="7">
        <f>Assumptions!$C$40*(L38)</f>
        <v/>
      </c>
      <c r="N31" s="7">
        <f>Assumptions!$C$40*(M38)</f>
        <v/>
      </c>
      <c r="O31" s="7">
        <f>Assumptions!$C$40*(N38)</f>
        <v/>
      </c>
      <c r="P31" s="7">
        <f>Assumptions!$C$40*(O38)</f>
        <v/>
      </c>
      <c r="Q31" s="7">
        <f>Assumptions!$C$40*(P38)</f>
        <v/>
      </c>
    </row>
    <row r="32">
      <c r="A32" s="9" t="inlineStr">
        <is>
          <t>Commercial renovation ($)</t>
        </is>
      </c>
      <c r="C32" s="7">
        <f>Assumptions!$C$41*('Historical FY05-25'!W13-'Historical FY05-25'!W11)</f>
        <v/>
      </c>
      <c r="D32" s="7">
        <f>Assumptions!$C$41*('Revenue FY26-40'!C12)</f>
        <v/>
      </c>
      <c r="E32" s="7">
        <f>Assumptions!$C$41*('Revenue FY26-40'!D12)</f>
        <v/>
      </c>
      <c r="F32" s="7">
        <f>Assumptions!$C$41*('Revenue FY26-40'!E12)</f>
        <v/>
      </c>
      <c r="G32" s="7">
        <f>Assumptions!$C$41*('Revenue FY26-40'!F12)</f>
        <v/>
      </c>
      <c r="H32" s="7">
        <f>Assumptions!$C$41*('Revenue FY26-40'!G12)</f>
        <v/>
      </c>
      <c r="I32" s="7">
        <f>Assumptions!$C$41*(H38)</f>
        <v/>
      </c>
      <c r="J32" s="7">
        <f>Assumptions!$C$41*(I38)</f>
        <v/>
      </c>
      <c r="K32" s="7">
        <f>Assumptions!$C$41*(J38)</f>
        <v/>
      </c>
      <c r="L32" s="7">
        <f>Assumptions!$C$41*(K38)</f>
        <v/>
      </c>
      <c r="M32" s="7">
        <f>Assumptions!$C$41*(L38)</f>
        <v/>
      </c>
      <c r="N32" s="7">
        <f>Assumptions!$C$41*(M38)</f>
        <v/>
      </c>
      <c r="O32" s="7">
        <f>Assumptions!$C$41*(N38)</f>
        <v/>
      </c>
      <c r="P32" s="7">
        <f>Assumptions!$C$41*(O38)</f>
        <v/>
      </c>
      <c r="Q32" s="7">
        <f>Assumptions!$C$41*(P38)</f>
        <v/>
      </c>
    </row>
    <row r="33">
      <c r="A33" s="9" t="inlineStr">
        <is>
          <t>Commercial personal property ($)</t>
        </is>
      </c>
      <c r="C33" s="7">
        <f>Assumptions!$C$42*('Historical FY05-25'!W13-'Historical FY05-25'!W11)</f>
        <v/>
      </c>
      <c r="D33" s="7">
        <f>Assumptions!$C$42*('Revenue FY26-40'!C12)</f>
        <v/>
      </c>
      <c r="E33" s="7">
        <f>Assumptions!$C$42*('Revenue FY26-40'!D12)</f>
        <v/>
      </c>
      <c r="F33" s="7">
        <f>Assumptions!$C$42*('Revenue FY26-40'!E12)</f>
        <v/>
      </c>
      <c r="G33" s="7">
        <f>Assumptions!$C$42*('Revenue FY26-40'!F12)</f>
        <v/>
      </c>
      <c r="H33" s="7">
        <f>Assumptions!$C$42*('Revenue FY26-40'!G12)</f>
        <v/>
      </c>
      <c r="I33" s="7">
        <f>Assumptions!$C$42*(H38)</f>
        <v/>
      </c>
      <c r="J33" s="7">
        <f>Assumptions!$C$42*(I38)</f>
        <v/>
      </c>
      <c r="K33" s="7">
        <f>Assumptions!$C$42*(J38)</f>
        <v/>
      </c>
      <c r="L33" s="7">
        <f>Assumptions!$C$42*(K38)</f>
        <v/>
      </c>
      <c r="M33" s="7">
        <f>Assumptions!$C$42*(L38)</f>
        <v/>
      </c>
      <c r="N33" s="7">
        <f>Assumptions!$C$42*(M38)</f>
        <v/>
      </c>
      <c r="O33" s="7">
        <f>Assumptions!$C$42*(N38)</f>
        <v/>
      </c>
      <c r="P33" s="7">
        <f>Assumptions!$C$42*(O38)</f>
        <v/>
      </c>
      <c r="Q33" s="7">
        <f>Assumptions!$C$42*(P38)</f>
        <v/>
      </c>
    </row>
    <row r="34">
      <c r="A34" s="9" t="inlineStr">
        <is>
          <t>CHCA property tax (level, City Realty avg)</t>
        </is>
      </c>
      <c r="C34" s="7">
        <f>IF(C5&lt;2032,0,IF(C5&gt;=2035,Assumptions!$B$26,Assumptions!$B$26*(C5-2032+1)/3))</f>
        <v/>
      </c>
      <c r="D34" s="7">
        <f>IF(D5&lt;2032,0,IF(D5&gt;=2035,Assumptions!$B$26,Assumptions!$B$26*(D5-2032+1)/3))</f>
        <v/>
      </c>
      <c r="E34" s="7">
        <f>IF(E5&lt;2032,0,IF(E5&gt;=2035,Assumptions!$B$26,Assumptions!$B$26*(E5-2032+1)/3))</f>
        <v/>
      </c>
      <c r="F34" s="7">
        <f>IF(F5&lt;2032,0,IF(F5&gt;=2035,Assumptions!$B$26,Assumptions!$B$26*(F5-2032+1)/3))</f>
        <v/>
      </c>
      <c r="G34" s="7">
        <f>IF(G5&lt;2032,0,IF(G5&gt;=2035,Assumptions!$B$26,Assumptions!$B$26*(G5-2032+1)/3))</f>
        <v/>
      </c>
      <c r="H34" s="7">
        <f>IF(H5&lt;2032,0,IF(H5&gt;=2035,Assumptions!$B$26,Assumptions!$B$26*(H5-2032+1)/3))</f>
        <v/>
      </c>
      <c r="I34" s="7">
        <f>IF(I5&lt;2032,0,IF(I5&gt;=2035,Assumptions!$B$26,Assumptions!$B$26*(I5-2032+1)/3))</f>
        <v/>
      </c>
      <c r="J34" s="7">
        <f>IF(J5&lt;2032,0,IF(J5&gt;=2035,Assumptions!$B$26,Assumptions!$B$26*(J5-2032+1)/3))</f>
        <v/>
      </c>
      <c r="K34" s="7">
        <f>IF(K5&lt;2032,0,IF(K5&gt;=2035,Assumptions!$B$26,Assumptions!$B$26*(K5-2032+1)/3))</f>
        <v/>
      </c>
      <c r="L34" s="7">
        <f>IF(L5&lt;2032,0,IF(L5&gt;=2035,Assumptions!$B$26,Assumptions!$B$26*(L5-2032+1)/3))</f>
        <v/>
      </c>
      <c r="M34" s="7">
        <f>IF(M5&lt;2032,0,IF(M5&gt;=2035,Assumptions!$B$26,Assumptions!$B$26*(M5-2032+1)/3))</f>
        <v/>
      </c>
      <c r="N34" s="7">
        <f>IF(N5&lt;2032,0,IF(N5&gt;=2035,Assumptions!$B$26,Assumptions!$B$26*(N5-2032+1)/3))</f>
        <v/>
      </c>
      <c r="O34" s="7">
        <f>IF(O5&lt;2032,0,IF(O5&gt;=2035,Assumptions!$B$26,Assumptions!$B$26*(O5-2032+1)/3))</f>
        <v/>
      </c>
      <c r="P34" s="7">
        <f>IF(P5&lt;2032,0,IF(P5&gt;=2035,Assumptions!$B$26,Assumptions!$B$26*(P5-2032+1)/3))</f>
        <v/>
      </c>
      <c r="Q34" s="7">
        <f>IF(Q5&lt;2032,0,IF(Q5&gt;=2035,Assumptions!$B$26,Assumptions!$B$26*(Q5-2032+1)/3))</f>
        <v/>
      </c>
    </row>
    <row r="35">
      <c r="A35" s="9" t="inlineStr">
        <is>
          <t>CHCA property tax increment</t>
        </is>
      </c>
      <c r="C35" s="7">
        <f>C34-0</f>
        <v/>
      </c>
      <c r="D35" s="7">
        <f>D34-C34</f>
        <v/>
      </c>
      <c r="E35" s="7">
        <f>E34-D34</f>
        <v/>
      </c>
      <c r="F35" s="7">
        <f>F34-E34</f>
        <v/>
      </c>
      <c r="G35" s="7">
        <f>G34-F34</f>
        <v/>
      </c>
      <c r="H35" s="7">
        <f>H34-G34</f>
        <v/>
      </c>
      <c r="I35" s="7">
        <f>I34-H34</f>
        <v/>
      </c>
      <c r="J35" s="7">
        <f>J34-I34</f>
        <v/>
      </c>
      <c r="K35" s="7">
        <f>K34-J34</f>
        <v/>
      </c>
      <c r="L35" s="7">
        <f>L34-K34</f>
        <v/>
      </c>
      <c r="M35" s="7">
        <f>M34-L34</f>
        <v/>
      </c>
      <c r="N35" s="7">
        <f>N34-M34</f>
        <v/>
      </c>
      <c r="O35" s="7">
        <f>O34-N34</f>
        <v/>
      </c>
      <c r="P35" s="7">
        <f>P34-O34</f>
        <v/>
      </c>
      <c r="Q35" s="7">
        <f>Q34-P34</f>
        <v/>
      </c>
    </row>
    <row r="36">
      <c r="A36" s="8" t="inlineStr">
        <is>
          <t>New growth, TOTAL ($, incl. CHCA increment)</t>
        </is>
      </c>
      <c r="C36" s="7">
        <f>SUM(C29:C33)+C35</f>
        <v/>
      </c>
      <c r="D36" s="7">
        <f>SUM(D29:D33)+D35</f>
        <v/>
      </c>
      <c r="E36" s="7">
        <f>SUM(E29:E33)+E35</f>
        <v/>
      </c>
      <c r="F36" s="7">
        <f>SUM(F29:F33)+F35</f>
        <v/>
      </c>
      <c r="G36" s="7">
        <f>SUM(G29:G33)+G35</f>
        <v/>
      </c>
      <c r="H36" s="7">
        <f>SUM(H29:H33)+H35</f>
        <v/>
      </c>
      <c r="I36" s="7">
        <f>SUM(I29:I33)+I35</f>
        <v/>
      </c>
      <c r="J36" s="7">
        <f>SUM(J29:J33)+J35</f>
        <v/>
      </c>
      <c r="K36" s="7">
        <f>SUM(K29:K33)+K35</f>
        <v/>
      </c>
      <c r="L36" s="7">
        <f>SUM(L29:L33)+L35</f>
        <v/>
      </c>
      <c r="M36" s="7">
        <f>SUM(M29:M33)+M35</f>
        <v/>
      </c>
      <c r="N36" s="7">
        <f>SUM(N29:N33)+N35</f>
        <v/>
      </c>
      <c r="O36" s="7">
        <f>SUM(O29:O33)+O35</f>
        <v/>
      </c>
      <c r="P36" s="7">
        <f>SUM(P29:P33)+P35</f>
        <v/>
      </c>
      <c r="Q36" s="7">
        <f>SUM(Q29:Q33)+Q35</f>
        <v/>
      </c>
    </row>
    <row r="37">
      <c r="A37" s="9" t="inlineStr">
        <is>
          <t>Diff (delta method, TOWN_YEARS only)</t>
        </is>
      </c>
      <c r="C37" s="7">
        <f>0*1.025+(C36-Assumptions!$B$11)</f>
        <v/>
      </c>
      <c r="D37" s="7">
        <f>C37*1.025+(D36-Assumptions!$B$11)</f>
        <v/>
      </c>
      <c r="E37" s="7">
        <f>D37*1.025+(E36-Assumptions!$B$11)</f>
        <v/>
      </c>
      <c r="F37" s="7">
        <f>E37*1.025+(F36-Assumptions!$B$11)</f>
        <v/>
      </c>
      <c r="G37" s="7">
        <f>F37*1.025+(G36-Assumptions!$B$11)</f>
        <v/>
      </c>
      <c r="H37" s="7">
        <f>G37*1.025+(H36-Assumptions!$B$11)</f>
        <v/>
      </c>
    </row>
    <row r="38">
      <c r="A38" s="8" t="inlineStr">
        <is>
          <t>PROPERTY TAX OPERATING (levy limit)</t>
        </is>
      </c>
      <c r="C38" s="7">
        <f>'Revenue FY26-40'!C12+C37</f>
        <v/>
      </c>
      <c r="D38" s="7">
        <f>'Revenue FY26-40'!D12+D37</f>
        <v/>
      </c>
      <c r="E38" s="7">
        <f>'Revenue FY26-40'!E12+E37</f>
        <v/>
      </c>
      <c r="F38" s="7">
        <f>'Revenue FY26-40'!F12+F37</f>
        <v/>
      </c>
      <c r="G38" s="7">
        <f>'Revenue FY26-40'!G12+G37</f>
        <v/>
      </c>
      <c r="H38" s="7">
        <f>'Revenue FY26-40'!H12+H37</f>
        <v/>
      </c>
      <c r="I38" s="7">
        <f>H38*1.025+I36</f>
        <v/>
      </c>
      <c r="J38" s="7">
        <f>I38*1.025+J36</f>
        <v/>
      </c>
      <c r="K38" s="7">
        <f>J38*1.025+K36</f>
        <v/>
      </c>
      <c r="L38" s="7">
        <f>K38*1.025+L36</f>
        <v/>
      </c>
      <c r="M38" s="7">
        <f>L38*1.025+M36</f>
        <v/>
      </c>
      <c r="N38" s="7">
        <f>M38*1.025+N36</f>
        <v/>
      </c>
      <c r="O38" s="7">
        <f>N38*1.025+O36</f>
        <v/>
      </c>
      <c r="P38" s="7">
        <f>O38*1.025+P36</f>
        <v/>
      </c>
      <c r="Q38" s="7">
        <f>P38*1.025+Q36</f>
        <v/>
      </c>
    </row>
    <row r="39">
      <c r="A39" s="9" t="inlineStr">
        <is>
          <t>Debt Exclusion Revenue (= Revenue tab)</t>
        </is>
      </c>
      <c r="C39" s="7">
        <f>'Revenue FY26-40'!C13</f>
        <v/>
      </c>
      <c r="D39" s="7">
        <f>'Revenue FY26-40'!D13</f>
        <v/>
      </c>
      <c r="E39" s="7">
        <f>'Revenue FY26-40'!E13</f>
        <v/>
      </c>
      <c r="F39" s="7">
        <f>'Revenue FY26-40'!F13</f>
        <v/>
      </c>
      <c r="G39" s="7">
        <f>'Revenue FY26-40'!G13</f>
        <v/>
      </c>
      <c r="H39" s="7">
        <f>'Revenue FY26-40'!H13</f>
        <v/>
      </c>
      <c r="I39" s="7">
        <f>'Revenue FY26-40'!I13</f>
        <v/>
      </c>
      <c r="J39" s="7">
        <f>'Revenue FY26-40'!J13</f>
        <v/>
      </c>
      <c r="K39" s="7">
        <f>'Revenue FY26-40'!K13</f>
        <v/>
      </c>
      <c r="L39" s="7">
        <f>'Revenue FY26-40'!L13</f>
        <v/>
      </c>
      <c r="M39" s="7">
        <f>'Revenue FY26-40'!M13</f>
        <v/>
      </c>
      <c r="N39" s="7">
        <f>'Revenue FY26-40'!N13</f>
        <v/>
      </c>
      <c r="O39" s="7">
        <f>'Revenue FY26-40'!O13</f>
        <v/>
      </c>
      <c r="P39" s="7">
        <f>'Revenue FY26-40'!P13</f>
        <v/>
      </c>
      <c r="Q39" s="7">
        <f>'Revenue FY26-40'!Q13</f>
        <v/>
      </c>
    </row>
    <row r="40">
      <c r="A40" s="8" t="inlineStr">
        <is>
          <t>PROPERTY TAXES</t>
        </is>
      </c>
      <c r="C40" s="7">
        <f>C38+C39</f>
        <v/>
      </c>
      <c r="D40" s="7">
        <f>D38+D39</f>
        <v/>
      </c>
      <c r="E40" s="7">
        <f>E38+E39</f>
        <v/>
      </c>
      <c r="F40" s="7">
        <f>F38+F39</f>
        <v/>
      </c>
      <c r="G40" s="7">
        <f>G38+G39</f>
        <v/>
      </c>
      <c r="H40" s="7">
        <f>H38+H39</f>
        <v/>
      </c>
      <c r="I40" s="7">
        <f>I38+I39</f>
        <v/>
      </c>
      <c r="J40" s="7">
        <f>J38+J39</f>
        <v/>
      </c>
      <c r="K40" s="7">
        <f>K38+K39</f>
        <v/>
      </c>
      <c r="L40" s="7">
        <f>L38+L39</f>
        <v/>
      </c>
      <c r="M40" s="7">
        <f>M38+M39</f>
        <v/>
      </c>
      <c r="N40" s="7">
        <f>N38+N39</f>
        <v/>
      </c>
      <c r="O40" s="7">
        <f>O38+O39</f>
        <v/>
      </c>
      <c r="P40" s="7">
        <f>P38+P39</f>
        <v/>
      </c>
      <c r="Q40" s="7">
        <f>Q38+Q39</f>
        <v/>
      </c>
    </row>
    <row r="41">
      <c r="A41" s="9" t="inlineStr">
        <is>
          <t>State Aid (= Revenue tab, trend_corrected)</t>
        </is>
      </c>
      <c r="C41" s="7">
        <f>'Revenue FY26-40'!C40</f>
        <v/>
      </c>
      <c r="D41" s="7">
        <f>'Revenue FY26-40'!D40</f>
        <v/>
      </c>
      <c r="E41" s="7">
        <f>'Revenue FY26-40'!E40</f>
        <v/>
      </c>
      <c r="F41" s="7">
        <f>'Revenue FY26-40'!F40</f>
        <v/>
      </c>
      <c r="G41" s="7">
        <f>'Revenue FY26-40'!G40</f>
        <v/>
      </c>
      <c r="H41" s="7">
        <f>'Revenue FY26-40'!H40</f>
        <v/>
      </c>
      <c r="I41" s="7">
        <f>'Revenue FY26-40'!I40</f>
        <v/>
      </c>
      <c r="J41" s="7">
        <f>'Revenue FY26-40'!J40</f>
        <v/>
      </c>
      <c r="K41" s="7">
        <f>'Revenue FY26-40'!K40</f>
        <v/>
      </c>
      <c r="L41" s="7">
        <f>'Revenue FY26-40'!L40</f>
        <v/>
      </c>
      <c r="M41" s="7">
        <f>'Revenue FY26-40'!M40</f>
        <v/>
      </c>
      <c r="N41" s="7">
        <f>'Revenue FY26-40'!N40</f>
        <v/>
      </c>
      <c r="O41" s="7">
        <f>'Revenue FY26-40'!O40</f>
        <v/>
      </c>
      <c r="P41" s="7">
        <f>'Revenue FY26-40'!P40</f>
        <v/>
      </c>
      <c r="Q41" s="7">
        <f>'Revenue FY26-40'!Q40</f>
        <v/>
      </c>
    </row>
    <row r="42">
      <c r="A42" s="6" t="inlineStr">
        <is>
          <t>Local Receipts (cited - bespoke sub-model)</t>
        </is>
      </c>
      <c r="C42" s="7" t="n">
        <v>38077072</v>
      </c>
      <c r="D42" s="7" t="n">
        <v>37633556</v>
      </c>
      <c r="E42" s="7" t="n">
        <v>41613514</v>
      </c>
      <c r="F42" s="7" t="n">
        <v>43254733</v>
      </c>
      <c r="G42" s="7" t="n">
        <v>45014642</v>
      </c>
      <c r="H42" s="7" t="n">
        <v>46623259</v>
      </c>
      <c r="I42" s="7" t="n">
        <v>49228183</v>
      </c>
      <c r="J42" s="7" t="n">
        <v>51409487</v>
      </c>
      <c r="K42" s="7" t="n">
        <v>53672170</v>
      </c>
      <c r="L42" s="7" t="n">
        <v>55792057</v>
      </c>
      <c r="M42" s="7" t="n">
        <v>57949006</v>
      </c>
      <c r="N42" s="7" t="n">
        <v>60195448</v>
      </c>
      <c r="O42" s="7" t="n">
        <v>62535333</v>
      </c>
      <c r="P42" s="7" t="n">
        <v>64972796</v>
      </c>
      <c r="Q42" s="7" t="n">
        <v>67512166</v>
      </c>
    </row>
    <row r="43">
      <c r="A43" s="9" t="inlineStr">
        <is>
          <t>Other Available Funds (= Revenue tab)</t>
        </is>
      </c>
      <c r="C43" s="7">
        <f>'Revenue FY26-40'!C16</f>
        <v/>
      </c>
      <c r="D43" s="7">
        <f>'Revenue FY26-40'!D16</f>
        <v/>
      </c>
      <c r="E43" s="7">
        <f>'Revenue FY26-40'!E16</f>
        <v/>
      </c>
      <c r="F43" s="7">
        <f>'Revenue FY26-40'!F16</f>
        <v/>
      </c>
      <c r="G43" s="7">
        <f>'Revenue FY26-40'!G16</f>
        <v/>
      </c>
      <c r="H43" s="7">
        <f>'Revenue FY26-40'!H16</f>
        <v/>
      </c>
      <c r="I43" s="7">
        <f>'Revenue FY26-40'!I16</f>
        <v/>
      </c>
      <c r="J43" s="7">
        <f>'Revenue FY26-40'!J16</f>
        <v/>
      </c>
      <c r="K43" s="7">
        <f>'Revenue FY26-40'!K16</f>
        <v/>
      </c>
      <c r="L43" s="7">
        <f>'Revenue FY26-40'!L16</f>
        <v/>
      </c>
      <c r="M43" s="7">
        <f>'Revenue FY26-40'!M16</f>
        <v/>
      </c>
      <c r="N43" s="7">
        <f>'Revenue FY26-40'!N16</f>
        <v/>
      </c>
      <c r="O43" s="7">
        <f>'Revenue FY26-40'!O16</f>
        <v/>
      </c>
      <c r="P43" s="7">
        <f>'Revenue FY26-40'!P16</f>
        <v/>
      </c>
      <c r="Q43" s="7">
        <f>'Revenue FY26-40'!Q16</f>
        <v/>
      </c>
    </row>
    <row r="44">
      <c r="A44" s="6" t="inlineStr">
        <is>
          <t>Free Cash (cited - two-year cash cycle for this scenario)</t>
        </is>
      </c>
      <c r="C44" s="7" t="n">
        <v>21303316</v>
      </c>
      <c r="D44" s="7" t="n">
        <v>18280805</v>
      </c>
      <c r="E44" s="7" t="n">
        <v>23331188</v>
      </c>
      <c r="F44" s="7" t="n">
        <v>26688682</v>
      </c>
      <c r="G44" s="7" t="n">
        <v>26081801</v>
      </c>
      <c r="H44" s="7" t="n">
        <v>27431235</v>
      </c>
      <c r="I44" s="7" t="n">
        <v>28485307</v>
      </c>
      <c r="J44" s="7" t="n">
        <v>29502372</v>
      </c>
      <c r="K44" s="7" t="n">
        <v>30971967</v>
      </c>
      <c r="L44" s="7" t="n">
        <v>32333845</v>
      </c>
      <c r="M44" s="7" t="n">
        <v>33763076</v>
      </c>
      <c r="N44" s="7" t="n">
        <v>35121255</v>
      </c>
      <c r="O44" s="7" t="n">
        <v>36521795</v>
      </c>
      <c r="P44" s="7" t="n">
        <v>37978508</v>
      </c>
      <c r="Q44" s="7" t="n">
        <v>39497274</v>
      </c>
    </row>
    <row r="45">
      <c r="A45" s="8" t="inlineStr">
        <is>
          <t>TOTAL REVENUE</t>
        </is>
      </c>
      <c r="C45" s="7">
        <f>C40+C41+C42+C43+C44</f>
        <v/>
      </c>
      <c r="D45" s="7">
        <f>D40+D41+D42+D43+D44</f>
        <v/>
      </c>
      <c r="E45" s="7">
        <f>E40+E41+E42+E43+E44</f>
        <v/>
      </c>
      <c r="F45" s="7">
        <f>F40+F41+F42+F43+F44</f>
        <v/>
      </c>
      <c r="G45" s="7">
        <f>G40+G41+G42+G43+G44</f>
        <v/>
      </c>
      <c r="H45" s="7">
        <f>H40+H41+H42+H43+H44</f>
        <v/>
      </c>
      <c r="I45" s="7">
        <f>I40+I41+I42+I43+I44</f>
        <v/>
      </c>
      <c r="J45" s="7">
        <f>J40+J41+J42+J43+J44</f>
        <v/>
      </c>
      <c r="K45" s="7">
        <f>K40+K41+K42+K43+K44</f>
        <v/>
      </c>
      <c r="L45" s="7">
        <f>L40+L41+L42+L43+L44</f>
        <v/>
      </c>
      <c r="M45" s="7">
        <f>M40+M41+M42+M43+M44</f>
        <v/>
      </c>
      <c r="N45" s="7">
        <f>N40+N41+N42+N43+N44</f>
        <v/>
      </c>
      <c r="O45" s="7">
        <f>O40+O41+O42+O43+O44</f>
        <v/>
      </c>
      <c r="P45" s="7">
        <f>P40+P41+P42+P43+P44</f>
        <v/>
      </c>
      <c r="Q45" s="7">
        <f>Q40+Q41+Q42+Q43+Q44</f>
        <v/>
      </c>
    </row>
    <row r="46">
      <c r="A46" s="9" t="inlineStr">
        <is>
          <t>Check vs. Python model (should be ~$0)</t>
        </is>
      </c>
      <c r="C46" s="7">
        <f>C45-425976801.0</f>
        <v/>
      </c>
      <c r="D46" s="7">
        <f>D45-457564626.0</f>
        <v/>
      </c>
      <c r="E46" s="7">
        <f>E45-485582403.0</f>
        <v/>
      </c>
      <c r="F46" s="7">
        <f>F45-515748095.0</f>
        <v/>
      </c>
      <c r="G46" s="7">
        <f>G45-534602656.0</f>
        <v/>
      </c>
      <c r="H46" s="7">
        <f>H45-553677054.0</f>
        <v/>
      </c>
      <c r="I46" s="7">
        <f>I45-578474095.0</f>
        <v/>
      </c>
      <c r="J46" s="7">
        <f>J45-603746056.0</f>
        <v/>
      </c>
      <c r="K46" s="7">
        <f>K45-630528968.0</f>
        <v/>
      </c>
      <c r="L46" s="7">
        <f>L45-656279005.0</f>
        <v/>
      </c>
      <c r="M46" s="7">
        <f>M45-683118452.0</f>
        <v/>
      </c>
      <c r="N46" s="7">
        <f>N45-711005002.0</f>
        <v/>
      </c>
      <c r="O46" s="7">
        <f>O45-740101630.0</f>
        <v/>
      </c>
      <c r="P46" s="7">
        <f>P45-770473915.0</f>
        <v/>
      </c>
      <c r="Q46" s="7">
        <f>Q45-802181816.0</f>
        <v/>
      </c>
    </row>
    <row r="47"/>
    <row r="48"/>
    <row r="49">
      <c r="A49" s="3" t="inlineStr">
        <is>
          <t>Scenario: peer_target_commercial_led</t>
        </is>
      </c>
    </row>
    <row r="50">
      <c r="A50" s="9" t="inlineStr">
        <is>
          <t>Residential new construction ($)</t>
        </is>
      </c>
      <c r="C50" s="7">
        <f>Assumptions!$D$38*('Historical FY05-25'!W13-'Historical FY05-25'!W11)</f>
        <v/>
      </c>
      <c r="D50" s="7">
        <f>Assumptions!$D$38*('Revenue FY26-40'!C12)</f>
        <v/>
      </c>
      <c r="E50" s="7">
        <f>Assumptions!$D$38*('Revenue FY26-40'!D12)</f>
        <v/>
      </c>
      <c r="F50" s="7">
        <f>Assumptions!$D$38*('Revenue FY26-40'!E12)</f>
        <v/>
      </c>
      <c r="G50" s="7">
        <f>Assumptions!$D$38*('Revenue FY26-40'!F12)</f>
        <v/>
      </c>
      <c r="H50" s="7">
        <f>Assumptions!$D$38*('Revenue FY26-40'!G12)</f>
        <v/>
      </c>
      <c r="I50" s="7">
        <f>Assumptions!$D$38*(H59)</f>
        <v/>
      </c>
      <c r="J50" s="7">
        <f>Assumptions!$D$38*(I59)</f>
        <v/>
      </c>
      <c r="K50" s="7">
        <f>Assumptions!$D$38*(J59)</f>
        <v/>
      </c>
      <c r="L50" s="7">
        <f>Assumptions!$D$38*(K59)</f>
        <v/>
      </c>
      <c r="M50" s="7">
        <f>Assumptions!$D$38*(L59)</f>
        <v/>
      </c>
      <c r="N50" s="7">
        <f>Assumptions!$D$38*(M59)</f>
        <v/>
      </c>
      <c r="O50" s="7">
        <f>Assumptions!$D$38*(N59)</f>
        <v/>
      </c>
      <c r="P50" s="7">
        <f>Assumptions!$D$38*(O59)</f>
        <v/>
      </c>
      <c r="Q50" s="7">
        <f>Assumptions!$D$38*(P59)</f>
        <v/>
      </c>
    </row>
    <row r="51">
      <c r="A51" s="9" t="inlineStr">
        <is>
          <t>Residential renovation ($)</t>
        </is>
      </c>
      <c r="C51" s="7">
        <f>Assumptions!$D$39*('Historical FY05-25'!W13-'Historical FY05-25'!W11)</f>
        <v/>
      </c>
      <c r="D51" s="7">
        <f>Assumptions!$D$39*('Revenue FY26-40'!C12)</f>
        <v/>
      </c>
      <c r="E51" s="7">
        <f>Assumptions!$D$39*('Revenue FY26-40'!D12)</f>
        <v/>
      </c>
      <c r="F51" s="7">
        <f>Assumptions!$D$39*('Revenue FY26-40'!E12)</f>
        <v/>
      </c>
      <c r="G51" s="7">
        <f>Assumptions!$D$39*('Revenue FY26-40'!F12)</f>
        <v/>
      </c>
      <c r="H51" s="7">
        <f>Assumptions!$D$39*('Revenue FY26-40'!G12)</f>
        <v/>
      </c>
      <c r="I51" s="7">
        <f>Assumptions!$D$39*(H59)</f>
        <v/>
      </c>
      <c r="J51" s="7">
        <f>Assumptions!$D$39*(I59)</f>
        <v/>
      </c>
      <c r="K51" s="7">
        <f>Assumptions!$D$39*(J59)</f>
        <v/>
      </c>
      <c r="L51" s="7">
        <f>Assumptions!$D$39*(K59)</f>
        <v/>
      </c>
      <c r="M51" s="7">
        <f>Assumptions!$D$39*(L59)</f>
        <v/>
      </c>
      <c r="N51" s="7">
        <f>Assumptions!$D$39*(M59)</f>
        <v/>
      </c>
      <c r="O51" s="7">
        <f>Assumptions!$D$39*(N59)</f>
        <v/>
      </c>
      <c r="P51" s="7">
        <f>Assumptions!$D$39*(O59)</f>
        <v/>
      </c>
      <c r="Q51" s="7">
        <f>Assumptions!$D$39*(P59)</f>
        <v/>
      </c>
    </row>
    <row r="52">
      <c r="A52" s="9" t="inlineStr">
        <is>
          <t>Commercial new construction ($)</t>
        </is>
      </c>
      <c r="C52" s="7">
        <f>Assumptions!$D$40*('Historical FY05-25'!W13-'Historical FY05-25'!W11)</f>
        <v/>
      </c>
      <c r="D52" s="7">
        <f>Assumptions!$D$40*('Revenue FY26-40'!C12)</f>
        <v/>
      </c>
      <c r="E52" s="7">
        <f>Assumptions!$D$40*('Revenue FY26-40'!D12)</f>
        <v/>
      </c>
      <c r="F52" s="7">
        <f>Assumptions!$D$40*('Revenue FY26-40'!E12)</f>
        <v/>
      </c>
      <c r="G52" s="7">
        <f>Assumptions!$D$40*('Revenue FY26-40'!F12)</f>
        <v/>
      </c>
      <c r="H52" s="7">
        <f>Assumptions!$D$40*('Revenue FY26-40'!G12)</f>
        <v/>
      </c>
      <c r="I52" s="7">
        <f>Assumptions!$D$40*(H59)</f>
        <v/>
      </c>
      <c r="J52" s="7">
        <f>Assumptions!$D$40*(I59)</f>
        <v/>
      </c>
      <c r="K52" s="7">
        <f>Assumptions!$D$40*(J59)</f>
        <v/>
      </c>
      <c r="L52" s="7">
        <f>Assumptions!$D$40*(K59)</f>
        <v/>
      </c>
      <c r="M52" s="7">
        <f>Assumptions!$D$40*(L59)</f>
        <v/>
      </c>
      <c r="N52" s="7">
        <f>Assumptions!$D$40*(M59)</f>
        <v/>
      </c>
      <c r="O52" s="7">
        <f>Assumptions!$D$40*(N59)</f>
        <v/>
      </c>
      <c r="P52" s="7">
        <f>Assumptions!$D$40*(O59)</f>
        <v/>
      </c>
      <c r="Q52" s="7">
        <f>Assumptions!$D$40*(P59)</f>
        <v/>
      </c>
    </row>
    <row r="53">
      <c r="A53" s="9" t="inlineStr">
        <is>
          <t>Commercial renovation ($)</t>
        </is>
      </c>
      <c r="C53" s="7">
        <f>Assumptions!$D$41*('Historical FY05-25'!W13-'Historical FY05-25'!W11)</f>
        <v/>
      </c>
      <c r="D53" s="7">
        <f>Assumptions!$D$41*('Revenue FY26-40'!C12)</f>
        <v/>
      </c>
      <c r="E53" s="7">
        <f>Assumptions!$D$41*('Revenue FY26-40'!D12)</f>
        <v/>
      </c>
      <c r="F53" s="7">
        <f>Assumptions!$D$41*('Revenue FY26-40'!E12)</f>
        <v/>
      </c>
      <c r="G53" s="7">
        <f>Assumptions!$D$41*('Revenue FY26-40'!F12)</f>
        <v/>
      </c>
      <c r="H53" s="7">
        <f>Assumptions!$D$41*('Revenue FY26-40'!G12)</f>
        <v/>
      </c>
      <c r="I53" s="7">
        <f>Assumptions!$D$41*(H59)</f>
        <v/>
      </c>
      <c r="J53" s="7">
        <f>Assumptions!$D$41*(I59)</f>
        <v/>
      </c>
      <c r="K53" s="7">
        <f>Assumptions!$D$41*(J59)</f>
        <v/>
      </c>
      <c r="L53" s="7">
        <f>Assumptions!$D$41*(K59)</f>
        <v/>
      </c>
      <c r="M53" s="7">
        <f>Assumptions!$D$41*(L59)</f>
        <v/>
      </c>
      <c r="N53" s="7">
        <f>Assumptions!$D$41*(M59)</f>
        <v/>
      </c>
      <c r="O53" s="7">
        <f>Assumptions!$D$41*(N59)</f>
        <v/>
      </c>
      <c r="P53" s="7">
        <f>Assumptions!$D$41*(O59)</f>
        <v/>
      </c>
      <c r="Q53" s="7">
        <f>Assumptions!$D$41*(P59)</f>
        <v/>
      </c>
    </row>
    <row r="54">
      <c r="A54" s="9" t="inlineStr">
        <is>
          <t>Commercial personal property ($)</t>
        </is>
      </c>
      <c r="C54" s="7">
        <f>Assumptions!$D$42*('Historical FY05-25'!W13-'Historical FY05-25'!W11)</f>
        <v/>
      </c>
      <c r="D54" s="7">
        <f>Assumptions!$D$42*('Revenue FY26-40'!C12)</f>
        <v/>
      </c>
      <c r="E54" s="7">
        <f>Assumptions!$D$42*('Revenue FY26-40'!D12)</f>
        <v/>
      </c>
      <c r="F54" s="7">
        <f>Assumptions!$D$42*('Revenue FY26-40'!E12)</f>
        <v/>
      </c>
      <c r="G54" s="7">
        <f>Assumptions!$D$42*('Revenue FY26-40'!F12)</f>
        <v/>
      </c>
      <c r="H54" s="7">
        <f>Assumptions!$D$42*('Revenue FY26-40'!G12)</f>
        <v/>
      </c>
      <c r="I54" s="7">
        <f>Assumptions!$D$42*(H59)</f>
        <v/>
      </c>
      <c r="J54" s="7">
        <f>Assumptions!$D$42*(I59)</f>
        <v/>
      </c>
      <c r="K54" s="7">
        <f>Assumptions!$D$42*(J59)</f>
        <v/>
      </c>
      <c r="L54" s="7">
        <f>Assumptions!$D$42*(K59)</f>
        <v/>
      </c>
      <c r="M54" s="7">
        <f>Assumptions!$D$42*(L59)</f>
        <v/>
      </c>
      <c r="N54" s="7">
        <f>Assumptions!$D$42*(M59)</f>
        <v/>
      </c>
      <c r="O54" s="7">
        <f>Assumptions!$D$42*(N59)</f>
        <v/>
      </c>
      <c r="P54" s="7">
        <f>Assumptions!$D$42*(O59)</f>
        <v/>
      </c>
      <c r="Q54" s="7">
        <f>Assumptions!$D$42*(P59)</f>
        <v/>
      </c>
    </row>
    <row r="55">
      <c r="A55" s="9" t="inlineStr">
        <is>
          <t>CHCA property tax (level, City Realty avg)</t>
        </is>
      </c>
      <c r="C55" s="7">
        <f>IF(C5&lt;2032,0,IF(C5&gt;=2035,Assumptions!$B$26,Assumptions!$B$26*(C5-2032+1)/3))</f>
        <v/>
      </c>
      <c r="D55" s="7">
        <f>IF(D5&lt;2032,0,IF(D5&gt;=2035,Assumptions!$B$26,Assumptions!$B$26*(D5-2032+1)/3))</f>
        <v/>
      </c>
      <c r="E55" s="7">
        <f>IF(E5&lt;2032,0,IF(E5&gt;=2035,Assumptions!$B$26,Assumptions!$B$26*(E5-2032+1)/3))</f>
        <v/>
      </c>
      <c r="F55" s="7">
        <f>IF(F5&lt;2032,0,IF(F5&gt;=2035,Assumptions!$B$26,Assumptions!$B$26*(F5-2032+1)/3))</f>
        <v/>
      </c>
      <c r="G55" s="7">
        <f>IF(G5&lt;2032,0,IF(G5&gt;=2035,Assumptions!$B$26,Assumptions!$B$26*(G5-2032+1)/3))</f>
        <v/>
      </c>
      <c r="H55" s="7">
        <f>IF(H5&lt;2032,0,IF(H5&gt;=2035,Assumptions!$B$26,Assumptions!$B$26*(H5-2032+1)/3))</f>
        <v/>
      </c>
      <c r="I55" s="7">
        <f>IF(I5&lt;2032,0,IF(I5&gt;=2035,Assumptions!$B$26,Assumptions!$B$26*(I5-2032+1)/3))</f>
        <v/>
      </c>
      <c r="J55" s="7">
        <f>IF(J5&lt;2032,0,IF(J5&gt;=2035,Assumptions!$B$26,Assumptions!$B$26*(J5-2032+1)/3))</f>
        <v/>
      </c>
      <c r="K55" s="7">
        <f>IF(K5&lt;2032,0,IF(K5&gt;=2035,Assumptions!$B$26,Assumptions!$B$26*(K5-2032+1)/3))</f>
        <v/>
      </c>
      <c r="L55" s="7">
        <f>IF(L5&lt;2032,0,IF(L5&gt;=2035,Assumptions!$B$26,Assumptions!$B$26*(L5-2032+1)/3))</f>
        <v/>
      </c>
      <c r="M55" s="7">
        <f>IF(M5&lt;2032,0,IF(M5&gt;=2035,Assumptions!$B$26,Assumptions!$B$26*(M5-2032+1)/3))</f>
        <v/>
      </c>
      <c r="N55" s="7">
        <f>IF(N5&lt;2032,0,IF(N5&gt;=2035,Assumptions!$B$26,Assumptions!$B$26*(N5-2032+1)/3))</f>
        <v/>
      </c>
      <c r="O55" s="7">
        <f>IF(O5&lt;2032,0,IF(O5&gt;=2035,Assumptions!$B$26,Assumptions!$B$26*(O5-2032+1)/3))</f>
        <v/>
      </c>
      <c r="P55" s="7">
        <f>IF(P5&lt;2032,0,IF(P5&gt;=2035,Assumptions!$B$26,Assumptions!$B$26*(P5-2032+1)/3))</f>
        <v/>
      </c>
      <c r="Q55" s="7">
        <f>IF(Q5&lt;2032,0,IF(Q5&gt;=2035,Assumptions!$B$26,Assumptions!$B$26*(Q5-2032+1)/3))</f>
        <v/>
      </c>
    </row>
    <row r="56">
      <c r="A56" s="9" t="inlineStr">
        <is>
          <t>CHCA property tax increment</t>
        </is>
      </c>
      <c r="C56" s="7">
        <f>C55-0</f>
        <v/>
      </c>
      <c r="D56" s="7">
        <f>D55-C55</f>
        <v/>
      </c>
      <c r="E56" s="7">
        <f>E55-D55</f>
        <v/>
      </c>
      <c r="F56" s="7">
        <f>F55-E55</f>
        <v/>
      </c>
      <c r="G56" s="7">
        <f>G55-F55</f>
        <v/>
      </c>
      <c r="H56" s="7">
        <f>H55-G55</f>
        <v/>
      </c>
      <c r="I56" s="7">
        <f>I55-H55</f>
        <v/>
      </c>
      <c r="J56" s="7">
        <f>J55-I55</f>
        <v/>
      </c>
      <c r="K56" s="7">
        <f>K55-J55</f>
        <v/>
      </c>
      <c r="L56" s="7">
        <f>L55-K55</f>
        <v/>
      </c>
      <c r="M56" s="7">
        <f>M55-L55</f>
        <v/>
      </c>
      <c r="N56" s="7">
        <f>N55-M55</f>
        <v/>
      </c>
      <c r="O56" s="7">
        <f>O55-N55</f>
        <v/>
      </c>
      <c r="P56" s="7">
        <f>P55-O55</f>
        <v/>
      </c>
      <c r="Q56" s="7">
        <f>Q55-P55</f>
        <v/>
      </c>
    </row>
    <row r="57">
      <c r="A57" s="8" t="inlineStr">
        <is>
          <t>New growth, TOTAL ($, incl. CHCA increment)</t>
        </is>
      </c>
      <c r="C57" s="7">
        <f>SUM(C50:C54)+C56</f>
        <v/>
      </c>
      <c r="D57" s="7">
        <f>SUM(D50:D54)+D56</f>
        <v/>
      </c>
      <c r="E57" s="7">
        <f>SUM(E50:E54)+E56</f>
        <v/>
      </c>
      <c r="F57" s="7">
        <f>SUM(F50:F54)+F56</f>
        <v/>
      </c>
      <c r="G57" s="7">
        <f>SUM(G50:G54)+G56</f>
        <v/>
      </c>
      <c r="H57" s="7">
        <f>SUM(H50:H54)+H56</f>
        <v/>
      </c>
      <c r="I57" s="7">
        <f>SUM(I50:I54)+I56</f>
        <v/>
      </c>
      <c r="J57" s="7">
        <f>SUM(J50:J54)+J56</f>
        <v/>
      </c>
      <c r="K57" s="7">
        <f>SUM(K50:K54)+K56</f>
        <v/>
      </c>
      <c r="L57" s="7">
        <f>SUM(L50:L54)+L56</f>
        <v/>
      </c>
      <c r="M57" s="7">
        <f>SUM(M50:M54)+M56</f>
        <v/>
      </c>
      <c r="N57" s="7">
        <f>SUM(N50:N54)+N56</f>
        <v/>
      </c>
      <c r="O57" s="7">
        <f>SUM(O50:O54)+O56</f>
        <v/>
      </c>
      <c r="P57" s="7">
        <f>SUM(P50:P54)+P56</f>
        <v/>
      </c>
      <c r="Q57" s="7">
        <f>SUM(Q50:Q54)+Q56</f>
        <v/>
      </c>
    </row>
    <row r="58">
      <c r="A58" s="9" t="inlineStr">
        <is>
          <t>Diff (delta method, TOWN_YEARS only)</t>
        </is>
      </c>
      <c r="C58" s="7">
        <f>0*1.025+(C57-Assumptions!$B$11)</f>
        <v/>
      </c>
      <c r="D58" s="7">
        <f>C58*1.025+(D57-Assumptions!$B$11)</f>
        <v/>
      </c>
      <c r="E58" s="7">
        <f>D58*1.025+(E57-Assumptions!$B$11)</f>
        <v/>
      </c>
      <c r="F58" s="7">
        <f>E58*1.025+(F57-Assumptions!$B$11)</f>
        <v/>
      </c>
      <c r="G58" s="7">
        <f>F58*1.025+(G57-Assumptions!$B$11)</f>
        <v/>
      </c>
      <c r="H58" s="7">
        <f>G58*1.025+(H57-Assumptions!$B$11)</f>
        <v/>
      </c>
    </row>
    <row r="59">
      <c r="A59" s="8" t="inlineStr">
        <is>
          <t>PROPERTY TAX OPERATING (levy limit)</t>
        </is>
      </c>
      <c r="C59" s="7">
        <f>'Revenue FY26-40'!C12+C58</f>
        <v/>
      </c>
      <c r="D59" s="7">
        <f>'Revenue FY26-40'!D12+D58</f>
        <v/>
      </c>
      <c r="E59" s="7">
        <f>'Revenue FY26-40'!E12+E58</f>
        <v/>
      </c>
      <c r="F59" s="7">
        <f>'Revenue FY26-40'!F12+F58</f>
        <v/>
      </c>
      <c r="G59" s="7">
        <f>'Revenue FY26-40'!G12+G58</f>
        <v/>
      </c>
      <c r="H59" s="7">
        <f>'Revenue FY26-40'!H12+H58</f>
        <v/>
      </c>
      <c r="I59" s="7">
        <f>H59*1.025+I57</f>
        <v/>
      </c>
      <c r="J59" s="7">
        <f>I59*1.025+J57</f>
        <v/>
      </c>
      <c r="K59" s="7">
        <f>J59*1.025+K57</f>
        <v/>
      </c>
      <c r="L59" s="7">
        <f>K59*1.025+L57</f>
        <v/>
      </c>
      <c r="M59" s="7">
        <f>L59*1.025+M57</f>
        <v/>
      </c>
      <c r="N59" s="7">
        <f>M59*1.025+N57</f>
        <v/>
      </c>
      <c r="O59" s="7">
        <f>N59*1.025+O57</f>
        <v/>
      </c>
      <c r="P59" s="7">
        <f>O59*1.025+P57</f>
        <v/>
      </c>
      <c r="Q59" s="7">
        <f>P59*1.025+Q57</f>
        <v/>
      </c>
    </row>
    <row r="60">
      <c r="A60" s="9" t="inlineStr">
        <is>
          <t>Debt Exclusion Revenue (= Revenue tab)</t>
        </is>
      </c>
      <c r="C60" s="7">
        <f>'Revenue FY26-40'!C13</f>
        <v/>
      </c>
      <c r="D60" s="7">
        <f>'Revenue FY26-40'!D13</f>
        <v/>
      </c>
      <c r="E60" s="7">
        <f>'Revenue FY26-40'!E13</f>
        <v/>
      </c>
      <c r="F60" s="7">
        <f>'Revenue FY26-40'!F13</f>
        <v/>
      </c>
      <c r="G60" s="7">
        <f>'Revenue FY26-40'!G13</f>
        <v/>
      </c>
      <c r="H60" s="7">
        <f>'Revenue FY26-40'!H13</f>
        <v/>
      </c>
      <c r="I60" s="7">
        <f>'Revenue FY26-40'!I13</f>
        <v/>
      </c>
      <c r="J60" s="7">
        <f>'Revenue FY26-40'!J13</f>
        <v/>
      </c>
      <c r="K60" s="7">
        <f>'Revenue FY26-40'!K13</f>
        <v/>
      </c>
      <c r="L60" s="7">
        <f>'Revenue FY26-40'!L13</f>
        <v/>
      </c>
      <c r="M60" s="7">
        <f>'Revenue FY26-40'!M13</f>
        <v/>
      </c>
      <c r="N60" s="7">
        <f>'Revenue FY26-40'!N13</f>
        <v/>
      </c>
      <c r="O60" s="7">
        <f>'Revenue FY26-40'!O13</f>
        <v/>
      </c>
      <c r="P60" s="7">
        <f>'Revenue FY26-40'!P13</f>
        <v/>
      </c>
      <c r="Q60" s="7">
        <f>'Revenue FY26-40'!Q13</f>
        <v/>
      </c>
    </row>
    <row r="61">
      <c r="A61" s="8" t="inlineStr">
        <is>
          <t>PROPERTY TAXES</t>
        </is>
      </c>
      <c r="C61" s="7">
        <f>C59+C60</f>
        <v/>
      </c>
      <c r="D61" s="7">
        <f>D59+D60</f>
        <v/>
      </c>
      <c r="E61" s="7">
        <f>E59+E60</f>
        <v/>
      </c>
      <c r="F61" s="7">
        <f>F59+F60</f>
        <v/>
      </c>
      <c r="G61" s="7">
        <f>G59+G60</f>
        <v/>
      </c>
      <c r="H61" s="7">
        <f>H59+H60</f>
        <v/>
      </c>
      <c r="I61" s="7">
        <f>I59+I60</f>
        <v/>
      </c>
      <c r="J61" s="7">
        <f>J59+J60</f>
        <v/>
      </c>
      <c r="K61" s="7">
        <f>K59+K60</f>
        <v/>
      </c>
      <c r="L61" s="7">
        <f>L59+L60</f>
        <v/>
      </c>
      <c r="M61" s="7">
        <f>M59+M60</f>
        <v/>
      </c>
      <c r="N61" s="7">
        <f>N59+N60</f>
        <v/>
      </c>
      <c r="O61" s="7">
        <f>O59+O60</f>
        <v/>
      </c>
      <c r="P61" s="7">
        <f>P59+P60</f>
        <v/>
      </c>
      <c r="Q61" s="7">
        <f>Q59+Q60</f>
        <v/>
      </c>
    </row>
    <row r="62">
      <c r="A62" s="9" t="inlineStr">
        <is>
          <t>State Aid (= Revenue tab, trend_corrected)</t>
        </is>
      </c>
      <c r="C62" s="7">
        <f>'Revenue FY26-40'!C40</f>
        <v/>
      </c>
      <c r="D62" s="7">
        <f>'Revenue FY26-40'!D40</f>
        <v/>
      </c>
      <c r="E62" s="7">
        <f>'Revenue FY26-40'!E40</f>
        <v/>
      </c>
      <c r="F62" s="7">
        <f>'Revenue FY26-40'!F40</f>
        <v/>
      </c>
      <c r="G62" s="7">
        <f>'Revenue FY26-40'!G40</f>
        <v/>
      </c>
      <c r="H62" s="7">
        <f>'Revenue FY26-40'!H40</f>
        <v/>
      </c>
      <c r="I62" s="7">
        <f>'Revenue FY26-40'!I40</f>
        <v/>
      </c>
      <c r="J62" s="7">
        <f>'Revenue FY26-40'!J40</f>
        <v/>
      </c>
      <c r="K62" s="7">
        <f>'Revenue FY26-40'!K40</f>
        <v/>
      </c>
      <c r="L62" s="7">
        <f>'Revenue FY26-40'!L40</f>
        <v/>
      </c>
      <c r="M62" s="7">
        <f>'Revenue FY26-40'!M40</f>
        <v/>
      </c>
      <c r="N62" s="7">
        <f>'Revenue FY26-40'!N40</f>
        <v/>
      </c>
      <c r="O62" s="7">
        <f>'Revenue FY26-40'!O40</f>
        <v/>
      </c>
      <c r="P62" s="7">
        <f>'Revenue FY26-40'!P40</f>
        <v/>
      </c>
      <c r="Q62" s="7">
        <f>'Revenue FY26-40'!Q40</f>
        <v/>
      </c>
    </row>
    <row r="63">
      <c r="A63" s="6" t="inlineStr">
        <is>
          <t>Local Receipts (cited - bespoke sub-model)</t>
        </is>
      </c>
      <c r="C63" s="7" t="n">
        <v>36918283</v>
      </c>
      <c r="D63" s="7" t="n">
        <v>37633556</v>
      </c>
      <c r="E63" s="7" t="n">
        <v>40332177</v>
      </c>
      <c r="F63" s="7" t="n">
        <v>41946619</v>
      </c>
      <c r="G63" s="7" t="n">
        <v>43669632</v>
      </c>
      <c r="H63" s="7" t="n">
        <v>45274852</v>
      </c>
      <c r="I63" s="7" t="n">
        <v>47762387</v>
      </c>
      <c r="J63" s="7" t="n">
        <v>49906706</v>
      </c>
      <c r="K63" s="7" t="n">
        <v>52129719</v>
      </c>
      <c r="L63" s="7" t="n">
        <v>54207063</v>
      </c>
      <c r="M63" s="7" t="n">
        <v>56326644</v>
      </c>
      <c r="N63" s="7" t="n">
        <v>58532655</v>
      </c>
      <c r="O63" s="7" t="n">
        <v>60828840</v>
      </c>
      <c r="P63" s="7" t="n">
        <v>63219117</v>
      </c>
      <c r="Q63" s="7" t="n">
        <v>65707580</v>
      </c>
    </row>
    <row r="64">
      <c r="A64" s="9" t="inlineStr">
        <is>
          <t>Other Available Funds (= Revenue tab)</t>
        </is>
      </c>
      <c r="C64" s="7">
        <f>'Revenue FY26-40'!C16</f>
        <v/>
      </c>
      <c r="D64" s="7">
        <f>'Revenue FY26-40'!D16</f>
        <v/>
      </c>
      <c r="E64" s="7">
        <f>'Revenue FY26-40'!E16</f>
        <v/>
      </c>
      <c r="F64" s="7">
        <f>'Revenue FY26-40'!F16</f>
        <v/>
      </c>
      <c r="G64" s="7">
        <f>'Revenue FY26-40'!G16</f>
        <v/>
      </c>
      <c r="H64" s="7">
        <f>'Revenue FY26-40'!H16</f>
        <v/>
      </c>
      <c r="I64" s="7">
        <f>'Revenue FY26-40'!I16</f>
        <v/>
      </c>
      <c r="J64" s="7">
        <f>'Revenue FY26-40'!J16</f>
        <v/>
      </c>
      <c r="K64" s="7">
        <f>'Revenue FY26-40'!K16</f>
        <v/>
      </c>
      <c r="L64" s="7">
        <f>'Revenue FY26-40'!L16</f>
        <v/>
      </c>
      <c r="M64" s="7">
        <f>'Revenue FY26-40'!M16</f>
        <v/>
      </c>
      <c r="N64" s="7">
        <f>'Revenue FY26-40'!N16</f>
        <v/>
      </c>
      <c r="O64" s="7">
        <f>'Revenue FY26-40'!O16</f>
        <v/>
      </c>
      <c r="P64" s="7">
        <f>'Revenue FY26-40'!P16</f>
        <v/>
      </c>
      <c r="Q64" s="7">
        <f>'Revenue FY26-40'!Q16</f>
        <v/>
      </c>
    </row>
    <row r="65">
      <c r="A65" s="6" t="inlineStr">
        <is>
          <t>Free Cash (cited - two-year cash cycle for this scenario)</t>
        </is>
      </c>
      <c r="C65" s="7" t="n">
        <v>21303316</v>
      </c>
      <c r="D65" s="7" t="n">
        <v>18280805</v>
      </c>
      <c r="E65" s="7" t="n">
        <v>22964953</v>
      </c>
      <c r="F65" s="7" t="n">
        <v>25300235</v>
      </c>
      <c r="G65" s="7" t="n">
        <v>25666168</v>
      </c>
      <c r="H65" s="7" t="n">
        <v>26977369</v>
      </c>
      <c r="I65" s="7" t="n">
        <v>28048112</v>
      </c>
      <c r="J65" s="7" t="n">
        <v>29062990</v>
      </c>
      <c r="K65" s="7" t="n">
        <v>30495969</v>
      </c>
      <c r="L65" s="7" t="n">
        <v>31846094</v>
      </c>
      <c r="M65" s="7" t="n">
        <v>33261722</v>
      </c>
      <c r="N65" s="7" t="n">
        <v>34606113</v>
      </c>
      <c r="O65" s="7" t="n">
        <v>35994446</v>
      </c>
      <c r="P65" s="7" t="n">
        <v>37437980</v>
      </c>
      <c r="Q65" s="7" t="n">
        <v>38942579</v>
      </c>
    </row>
    <row r="66">
      <c r="A66" s="8" t="inlineStr">
        <is>
          <t>TOTAL REVENUE</t>
        </is>
      </c>
      <c r="C66" s="7">
        <f>C61+C62+C63+C64+C65</f>
        <v/>
      </c>
      <c r="D66" s="7">
        <f>D61+D62+D63+D64+D65</f>
        <v/>
      </c>
      <c r="E66" s="7">
        <f>E61+E62+E63+E64+E65</f>
        <v/>
      </c>
      <c r="F66" s="7">
        <f>F61+F62+F63+F64+F65</f>
        <v/>
      </c>
      <c r="G66" s="7">
        <f>G61+G62+G63+G64+G65</f>
        <v/>
      </c>
      <c r="H66" s="7">
        <f>H61+H62+H63+H64+H65</f>
        <v/>
      </c>
      <c r="I66" s="7">
        <f>I61+I62+I63+I64+I65</f>
        <v/>
      </c>
      <c r="J66" s="7">
        <f>J61+J62+J63+J64+J65</f>
        <v/>
      </c>
      <c r="K66" s="7">
        <f>K61+K62+K63+K64+K65</f>
        <v/>
      </c>
      <c r="L66" s="7">
        <f>L61+L62+L63+L64+L65</f>
        <v/>
      </c>
      <c r="M66" s="7">
        <f>M61+M62+M63+M64+M65</f>
        <v/>
      </c>
      <c r="N66" s="7">
        <f>N61+N62+N63+N64+N65</f>
        <v/>
      </c>
      <c r="O66" s="7">
        <f>O61+O62+O63+O64+O65</f>
        <v/>
      </c>
      <c r="P66" s="7">
        <f>P61+P62+P63+P64+P65</f>
        <v/>
      </c>
      <c r="Q66" s="7">
        <f>Q61+Q62+Q63+Q64+Q65</f>
        <v/>
      </c>
    </row>
    <row r="67">
      <c r="A67" s="9" t="inlineStr">
        <is>
          <t>Check vs. Python model (should be ~$0)</t>
        </is>
      </c>
      <c r="C67" s="7">
        <f>C66-424818012.0</f>
        <v/>
      </c>
      <c r="D67" s="7">
        <f>D66-457564626.0</f>
        <v/>
      </c>
      <c r="E67" s="7">
        <f>E66-483934830.0</f>
        <v/>
      </c>
      <c r="F67" s="7">
        <f>F66-513051534.0</f>
        <v/>
      </c>
      <c r="G67" s="7">
        <f>G66-532842013.0</f>
        <v/>
      </c>
      <c r="H67" s="7">
        <f>H66-551874781.0</f>
        <v/>
      </c>
      <c r="I67" s="7">
        <f>I66-576571104.0</f>
        <v/>
      </c>
      <c r="J67" s="7">
        <f>J66-601803893.0</f>
        <v/>
      </c>
      <c r="K67" s="7">
        <f>K66-628510520.0</f>
        <v/>
      </c>
      <c r="L67" s="7">
        <f>L66-654206261.0</f>
        <v/>
      </c>
      <c r="M67" s="7">
        <f>M66-680994735.0</f>
        <v/>
      </c>
      <c r="N67" s="7">
        <f>N66-708827067.0</f>
        <v/>
      </c>
      <c r="O67" s="7">
        <f>O66-737867788.0</f>
        <v/>
      </c>
      <c r="P67" s="7">
        <f>P66-768179706.0</f>
        <v/>
      </c>
      <c r="Q67" s="7">
        <f>Q66-799822534.0</f>
        <v/>
      </c>
    </row>
    <row r="68"/>
    <row r="69"/>
    <row r="70">
      <c r="A70" s="3" t="inlineStr">
        <is>
          <t>Scenario: peer_target_balanced_mix</t>
        </is>
      </c>
    </row>
    <row r="71">
      <c r="A71" s="9" t="inlineStr">
        <is>
          <t>Residential new construction ($)</t>
        </is>
      </c>
      <c r="C71" s="7">
        <f>Assumptions!$E$38*('Historical FY05-25'!W13-'Historical FY05-25'!W11)</f>
        <v/>
      </c>
      <c r="D71" s="7">
        <f>Assumptions!$E$38*('Revenue FY26-40'!C12)</f>
        <v/>
      </c>
      <c r="E71" s="7">
        <f>Assumptions!$E$38*('Revenue FY26-40'!D12)</f>
        <v/>
      </c>
      <c r="F71" s="7">
        <f>Assumptions!$E$38*('Revenue FY26-40'!E12)</f>
        <v/>
      </c>
      <c r="G71" s="7">
        <f>Assumptions!$E$38*('Revenue FY26-40'!F12)</f>
        <v/>
      </c>
      <c r="H71" s="7">
        <f>Assumptions!$E$38*('Revenue FY26-40'!G12)</f>
        <v/>
      </c>
      <c r="I71" s="7">
        <f>Assumptions!$E$38*(H80)</f>
        <v/>
      </c>
      <c r="J71" s="7">
        <f>Assumptions!$E$38*(I80)</f>
        <v/>
      </c>
      <c r="K71" s="7">
        <f>Assumptions!$E$38*(J80)</f>
        <v/>
      </c>
      <c r="L71" s="7">
        <f>Assumptions!$E$38*(K80)</f>
        <v/>
      </c>
      <c r="M71" s="7">
        <f>Assumptions!$E$38*(L80)</f>
        <v/>
      </c>
      <c r="N71" s="7">
        <f>Assumptions!$E$38*(M80)</f>
        <v/>
      </c>
      <c r="O71" s="7">
        <f>Assumptions!$E$38*(N80)</f>
        <v/>
      </c>
      <c r="P71" s="7">
        <f>Assumptions!$E$38*(O80)</f>
        <v/>
      </c>
      <c r="Q71" s="7">
        <f>Assumptions!$E$38*(P80)</f>
        <v/>
      </c>
    </row>
    <row r="72">
      <c r="A72" s="9" t="inlineStr">
        <is>
          <t>Residential renovation ($)</t>
        </is>
      </c>
      <c r="C72" s="7">
        <f>Assumptions!$E$39*('Historical FY05-25'!W13-'Historical FY05-25'!W11)</f>
        <v/>
      </c>
      <c r="D72" s="7">
        <f>Assumptions!$E$39*('Revenue FY26-40'!C12)</f>
        <v/>
      </c>
      <c r="E72" s="7">
        <f>Assumptions!$E$39*('Revenue FY26-40'!D12)</f>
        <v/>
      </c>
      <c r="F72" s="7">
        <f>Assumptions!$E$39*('Revenue FY26-40'!E12)</f>
        <v/>
      </c>
      <c r="G72" s="7">
        <f>Assumptions!$E$39*('Revenue FY26-40'!F12)</f>
        <v/>
      </c>
      <c r="H72" s="7">
        <f>Assumptions!$E$39*('Revenue FY26-40'!G12)</f>
        <v/>
      </c>
      <c r="I72" s="7">
        <f>Assumptions!$E$39*(H80)</f>
        <v/>
      </c>
      <c r="J72" s="7">
        <f>Assumptions!$E$39*(I80)</f>
        <v/>
      </c>
      <c r="K72" s="7">
        <f>Assumptions!$E$39*(J80)</f>
        <v/>
      </c>
      <c r="L72" s="7">
        <f>Assumptions!$E$39*(K80)</f>
        <v/>
      </c>
      <c r="M72" s="7">
        <f>Assumptions!$E$39*(L80)</f>
        <v/>
      </c>
      <c r="N72" s="7">
        <f>Assumptions!$E$39*(M80)</f>
        <v/>
      </c>
      <c r="O72" s="7">
        <f>Assumptions!$E$39*(N80)</f>
        <v/>
      </c>
      <c r="P72" s="7">
        <f>Assumptions!$E$39*(O80)</f>
        <v/>
      </c>
      <c r="Q72" s="7">
        <f>Assumptions!$E$39*(P80)</f>
        <v/>
      </c>
    </row>
    <row r="73">
      <c r="A73" s="9" t="inlineStr">
        <is>
          <t>Commercial new construction ($)</t>
        </is>
      </c>
      <c r="C73" s="7">
        <f>Assumptions!$E$40*('Historical FY05-25'!W13-'Historical FY05-25'!W11)</f>
        <v/>
      </c>
      <c r="D73" s="7">
        <f>Assumptions!$E$40*('Revenue FY26-40'!C12)</f>
        <v/>
      </c>
      <c r="E73" s="7">
        <f>Assumptions!$E$40*('Revenue FY26-40'!D12)</f>
        <v/>
      </c>
      <c r="F73" s="7">
        <f>Assumptions!$E$40*('Revenue FY26-40'!E12)</f>
        <v/>
      </c>
      <c r="G73" s="7">
        <f>Assumptions!$E$40*('Revenue FY26-40'!F12)</f>
        <v/>
      </c>
      <c r="H73" s="7">
        <f>Assumptions!$E$40*('Revenue FY26-40'!G12)</f>
        <v/>
      </c>
      <c r="I73" s="7">
        <f>Assumptions!$E$40*(H80)</f>
        <v/>
      </c>
      <c r="J73" s="7">
        <f>Assumptions!$E$40*(I80)</f>
        <v/>
      </c>
      <c r="K73" s="7">
        <f>Assumptions!$E$40*(J80)</f>
        <v/>
      </c>
      <c r="L73" s="7">
        <f>Assumptions!$E$40*(K80)</f>
        <v/>
      </c>
      <c r="M73" s="7">
        <f>Assumptions!$E$40*(L80)</f>
        <v/>
      </c>
      <c r="N73" s="7">
        <f>Assumptions!$E$40*(M80)</f>
        <v/>
      </c>
      <c r="O73" s="7">
        <f>Assumptions!$E$40*(N80)</f>
        <v/>
      </c>
      <c r="P73" s="7">
        <f>Assumptions!$E$40*(O80)</f>
        <v/>
      </c>
      <c r="Q73" s="7">
        <f>Assumptions!$E$40*(P80)</f>
        <v/>
      </c>
    </row>
    <row r="74">
      <c r="A74" s="9" t="inlineStr">
        <is>
          <t>Commercial renovation ($)</t>
        </is>
      </c>
      <c r="C74" s="7">
        <f>Assumptions!$E$41*('Historical FY05-25'!W13-'Historical FY05-25'!W11)</f>
        <v/>
      </c>
      <c r="D74" s="7">
        <f>Assumptions!$E$41*('Revenue FY26-40'!C12)</f>
        <v/>
      </c>
      <c r="E74" s="7">
        <f>Assumptions!$E$41*('Revenue FY26-40'!D12)</f>
        <v/>
      </c>
      <c r="F74" s="7">
        <f>Assumptions!$E$41*('Revenue FY26-40'!E12)</f>
        <v/>
      </c>
      <c r="G74" s="7">
        <f>Assumptions!$E$41*('Revenue FY26-40'!F12)</f>
        <v/>
      </c>
      <c r="H74" s="7">
        <f>Assumptions!$E$41*('Revenue FY26-40'!G12)</f>
        <v/>
      </c>
      <c r="I74" s="7">
        <f>Assumptions!$E$41*(H80)</f>
        <v/>
      </c>
      <c r="J74" s="7">
        <f>Assumptions!$E$41*(I80)</f>
        <v/>
      </c>
      <c r="K74" s="7">
        <f>Assumptions!$E$41*(J80)</f>
        <v/>
      </c>
      <c r="L74" s="7">
        <f>Assumptions!$E$41*(K80)</f>
        <v/>
      </c>
      <c r="M74" s="7">
        <f>Assumptions!$E$41*(L80)</f>
        <v/>
      </c>
      <c r="N74" s="7">
        <f>Assumptions!$E$41*(M80)</f>
        <v/>
      </c>
      <c r="O74" s="7">
        <f>Assumptions!$E$41*(N80)</f>
        <v/>
      </c>
      <c r="P74" s="7">
        <f>Assumptions!$E$41*(O80)</f>
        <v/>
      </c>
      <c r="Q74" s="7">
        <f>Assumptions!$E$41*(P80)</f>
        <v/>
      </c>
    </row>
    <row r="75">
      <c r="A75" s="9" t="inlineStr">
        <is>
          <t>Commercial personal property ($)</t>
        </is>
      </c>
      <c r="C75" s="7">
        <f>Assumptions!$E$42*('Historical FY05-25'!W13-'Historical FY05-25'!W11)</f>
        <v/>
      </c>
      <c r="D75" s="7">
        <f>Assumptions!$E$42*('Revenue FY26-40'!C12)</f>
        <v/>
      </c>
      <c r="E75" s="7">
        <f>Assumptions!$E$42*('Revenue FY26-40'!D12)</f>
        <v/>
      </c>
      <c r="F75" s="7">
        <f>Assumptions!$E$42*('Revenue FY26-40'!E12)</f>
        <v/>
      </c>
      <c r="G75" s="7">
        <f>Assumptions!$E$42*('Revenue FY26-40'!F12)</f>
        <v/>
      </c>
      <c r="H75" s="7">
        <f>Assumptions!$E$42*('Revenue FY26-40'!G12)</f>
        <v/>
      </c>
      <c r="I75" s="7">
        <f>Assumptions!$E$42*(H80)</f>
        <v/>
      </c>
      <c r="J75" s="7">
        <f>Assumptions!$E$42*(I80)</f>
        <v/>
      </c>
      <c r="K75" s="7">
        <f>Assumptions!$E$42*(J80)</f>
        <v/>
      </c>
      <c r="L75" s="7">
        <f>Assumptions!$E$42*(K80)</f>
        <v/>
      </c>
      <c r="M75" s="7">
        <f>Assumptions!$E$42*(L80)</f>
        <v/>
      </c>
      <c r="N75" s="7">
        <f>Assumptions!$E$42*(M80)</f>
        <v/>
      </c>
      <c r="O75" s="7">
        <f>Assumptions!$E$42*(N80)</f>
        <v/>
      </c>
      <c r="P75" s="7">
        <f>Assumptions!$E$42*(O80)</f>
        <v/>
      </c>
      <c r="Q75" s="7">
        <f>Assumptions!$E$42*(P80)</f>
        <v/>
      </c>
    </row>
    <row r="76">
      <c r="A76" s="9" t="inlineStr">
        <is>
          <t>CHCA property tax (level, City Realty avg)</t>
        </is>
      </c>
      <c r="C76" s="7">
        <f>IF(C5&lt;2032,0,IF(C5&gt;=2035,Assumptions!$B$26,Assumptions!$B$26*(C5-2032+1)/3))</f>
        <v/>
      </c>
      <c r="D76" s="7">
        <f>IF(D5&lt;2032,0,IF(D5&gt;=2035,Assumptions!$B$26,Assumptions!$B$26*(D5-2032+1)/3))</f>
        <v/>
      </c>
      <c r="E76" s="7">
        <f>IF(E5&lt;2032,0,IF(E5&gt;=2035,Assumptions!$B$26,Assumptions!$B$26*(E5-2032+1)/3))</f>
        <v/>
      </c>
      <c r="F76" s="7">
        <f>IF(F5&lt;2032,0,IF(F5&gt;=2035,Assumptions!$B$26,Assumptions!$B$26*(F5-2032+1)/3))</f>
        <v/>
      </c>
      <c r="G76" s="7">
        <f>IF(G5&lt;2032,0,IF(G5&gt;=2035,Assumptions!$B$26,Assumptions!$B$26*(G5-2032+1)/3))</f>
        <v/>
      </c>
      <c r="H76" s="7">
        <f>IF(H5&lt;2032,0,IF(H5&gt;=2035,Assumptions!$B$26,Assumptions!$B$26*(H5-2032+1)/3))</f>
        <v/>
      </c>
      <c r="I76" s="7">
        <f>IF(I5&lt;2032,0,IF(I5&gt;=2035,Assumptions!$B$26,Assumptions!$B$26*(I5-2032+1)/3))</f>
        <v/>
      </c>
      <c r="J76" s="7">
        <f>IF(J5&lt;2032,0,IF(J5&gt;=2035,Assumptions!$B$26,Assumptions!$B$26*(J5-2032+1)/3))</f>
        <v/>
      </c>
      <c r="K76" s="7">
        <f>IF(K5&lt;2032,0,IF(K5&gt;=2035,Assumptions!$B$26,Assumptions!$B$26*(K5-2032+1)/3))</f>
        <v/>
      </c>
      <c r="L76" s="7">
        <f>IF(L5&lt;2032,0,IF(L5&gt;=2035,Assumptions!$B$26,Assumptions!$B$26*(L5-2032+1)/3))</f>
        <v/>
      </c>
      <c r="M76" s="7">
        <f>IF(M5&lt;2032,0,IF(M5&gt;=2035,Assumptions!$B$26,Assumptions!$B$26*(M5-2032+1)/3))</f>
        <v/>
      </c>
      <c r="N76" s="7">
        <f>IF(N5&lt;2032,0,IF(N5&gt;=2035,Assumptions!$B$26,Assumptions!$B$26*(N5-2032+1)/3))</f>
        <v/>
      </c>
      <c r="O76" s="7">
        <f>IF(O5&lt;2032,0,IF(O5&gt;=2035,Assumptions!$B$26,Assumptions!$B$26*(O5-2032+1)/3))</f>
        <v/>
      </c>
      <c r="P76" s="7">
        <f>IF(P5&lt;2032,0,IF(P5&gt;=2035,Assumptions!$B$26,Assumptions!$B$26*(P5-2032+1)/3))</f>
        <v/>
      </c>
      <c r="Q76" s="7">
        <f>IF(Q5&lt;2032,0,IF(Q5&gt;=2035,Assumptions!$B$26,Assumptions!$B$26*(Q5-2032+1)/3))</f>
        <v/>
      </c>
    </row>
    <row r="77">
      <c r="A77" s="9" t="inlineStr">
        <is>
          <t>CHCA property tax increment</t>
        </is>
      </c>
      <c r="C77" s="7">
        <f>C76-0</f>
        <v/>
      </c>
      <c r="D77" s="7">
        <f>D76-C76</f>
        <v/>
      </c>
      <c r="E77" s="7">
        <f>E76-D76</f>
        <v/>
      </c>
      <c r="F77" s="7">
        <f>F76-E76</f>
        <v/>
      </c>
      <c r="G77" s="7">
        <f>G76-F76</f>
        <v/>
      </c>
      <c r="H77" s="7">
        <f>H76-G76</f>
        <v/>
      </c>
      <c r="I77" s="7">
        <f>I76-H76</f>
        <v/>
      </c>
      <c r="J77" s="7">
        <f>J76-I76</f>
        <v/>
      </c>
      <c r="K77" s="7">
        <f>K76-J76</f>
        <v/>
      </c>
      <c r="L77" s="7">
        <f>L76-K76</f>
        <v/>
      </c>
      <c r="M77" s="7">
        <f>M76-L76</f>
        <v/>
      </c>
      <c r="N77" s="7">
        <f>N76-M76</f>
        <v/>
      </c>
      <c r="O77" s="7">
        <f>O76-N76</f>
        <v/>
      </c>
      <c r="P77" s="7">
        <f>P76-O76</f>
        <v/>
      </c>
      <c r="Q77" s="7">
        <f>Q76-P76</f>
        <v/>
      </c>
    </row>
    <row r="78">
      <c r="A78" s="8" t="inlineStr">
        <is>
          <t>New growth, TOTAL ($, incl. CHCA increment)</t>
        </is>
      </c>
      <c r="C78" s="7">
        <f>SUM(C71:C75)+C77</f>
        <v/>
      </c>
      <c r="D78" s="7">
        <f>SUM(D71:D75)+D77</f>
        <v/>
      </c>
      <c r="E78" s="7">
        <f>SUM(E71:E75)+E77</f>
        <v/>
      </c>
      <c r="F78" s="7">
        <f>SUM(F71:F75)+F77</f>
        <v/>
      </c>
      <c r="G78" s="7">
        <f>SUM(G71:G75)+G77</f>
        <v/>
      </c>
      <c r="H78" s="7">
        <f>SUM(H71:H75)+H77</f>
        <v/>
      </c>
      <c r="I78" s="7">
        <f>SUM(I71:I75)+I77</f>
        <v/>
      </c>
      <c r="J78" s="7">
        <f>SUM(J71:J75)+J77</f>
        <v/>
      </c>
      <c r="K78" s="7">
        <f>SUM(K71:K75)+K77</f>
        <v/>
      </c>
      <c r="L78" s="7">
        <f>SUM(L71:L75)+L77</f>
        <v/>
      </c>
      <c r="M78" s="7">
        <f>SUM(M71:M75)+M77</f>
        <v/>
      </c>
      <c r="N78" s="7">
        <f>SUM(N71:N75)+N77</f>
        <v/>
      </c>
      <c r="O78" s="7">
        <f>SUM(O71:O75)+O77</f>
        <v/>
      </c>
      <c r="P78" s="7">
        <f>SUM(P71:P75)+P77</f>
        <v/>
      </c>
      <c r="Q78" s="7">
        <f>SUM(Q71:Q75)+Q77</f>
        <v/>
      </c>
    </row>
    <row r="79">
      <c r="A79" s="9" t="inlineStr">
        <is>
          <t>Diff (delta method, TOWN_YEARS only)</t>
        </is>
      </c>
      <c r="C79" s="7">
        <f>0*1.025+(C78-Assumptions!$B$11)</f>
        <v/>
      </c>
      <c r="D79" s="7">
        <f>C79*1.025+(D78-Assumptions!$B$11)</f>
        <v/>
      </c>
      <c r="E79" s="7">
        <f>D79*1.025+(E78-Assumptions!$B$11)</f>
        <v/>
      </c>
      <c r="F79" s="7">
        <f>E79*1.025+(F78-Assumptions!$B$11)</f>
        <v/>
      </c>
      <c r="G79" s="7">
        <f>F79*1.025+(G78-Assumptions!$B$11)</f>
        <v/>
      </c>
      <c r="H79" s="7">
        <f>G79*1.025+(H78-Assumptions!$B$11)</f>
        <v/>
      </c>
    </row>
    <row r="80">
      <c r="A80" s="8" t="inlineStr">
        <is>
          <t>PROPERTY TAX OPERATING (levy limit)</t>
        </is>
      </c>
      <c r="C80" s="7">
        <f>'Revenue FY26-40'!C12+C79</f>
        <v/>
      </c>
      <c r="D80" s="7">
        <f>'Revenue FY26-40'!D12+D79</f>
        <v/>
      </c>
      <c r="E80" s="7">
        <f>'Revenue FY26-40'!E12+E79</f>
        <v/>
      </c>
      <c r="F80" s="7">
        <f>'Revenue FY26-40'!F12+F79</f>
        <v/>
      </c>
      <c r="G80" s="7">
        <f>'Revenue FY26-40'!G12+G79</f>
        <v/>
      </c>
      <c r="H80" s="7">
        <f>'Revenue FY26-40'!H12+H79</f>
        <v/>
      </c>
      <c r="I80" s="7">
        <f>H80*1.025+I78</f>
        <v/>
      </c>
      <c r="J80" s="7">
        <f>I80*1.025+J78</f>
        <v/>
      </c>
      <c r="K80" s="7">
        <f>J80*1.025+K78</f>
        <v/>
      </c>
      <c r="L80" s="7">
        <f>K80*1.025+L78</f>
        <v/>
      </c>
      <c r="M80" s="7">
        <f>L80*1.025+M78</f>
        <v/>
      </c>
      <c r="N80" s="7">
        <f>M80*1.025+N78</f>
        <v/>
      </c>
      <c r="O80" s="7">
        <f>N80*1.025+O78</f>
        <v/>
      </c>
      <c r="P80" s="7">
        <f>O80*1.025+P78</f>
        <v/>
      </c>
      <c r="Q80" s="7">
        <f>P80*1.025+Q78</f>
        <v/>
      </c>
    </row>
    <row r="81">
      <c r="A81" s="9" t="inlineStr">
        <is>
          <t>Debt Exclusion Revenue (= Revenue tab)</t>
        </is>
      </c>
      <c r="C81" s="7">
        <f>'Revenue FY26-40'!C13</f>
        <v/>
      </c>
      <c r="D81" s="7">
        <f>'Revenue FY26-40'!D13</f>
        <v/>
      </c>
      <c r="E81" s="7">
        <f>'Revenue FY26-40'!E13</f>
        <v/>
      </c>
      <c r="F81" s="7">
        <f>'Revenue FY26-40'!F13</f>
        <v/>
      </c>
      <c r="G81" s="7">
        <f>'Revenue FY26-40'!G13</f>
        <v/>
      </c>
      <c r="H81" s="7">
        <f>'Revenue FY26-40'!H13</f>
        <v/>
      </c>
      <c r="I81" s="7">
        <f>'Revenue FY26-40'!I13</f>
        <v/>
      </c>
      <c r="J81" s="7">
        <f>'Revenue FY26-40'!J13</f>
        <v/>
      </c>
      <c r="K81" s="7">
        <f>'Revenue FY26-40'!K13</f>
        <v/>
      </c>
      <c r="L81" s="7">
        <f>'Revenue FY26-40'!L13</f>
        <v/>
      </c>
      <c r="M81" s="7">
        <f>'Revenue FY26-40'!M13</f>
        <v/>
      </c>
      <c r="N81" s="7">
        <f>'Revenue FY26-40'!N13</f>
        <v/>
      </c>
      <c r="O81" s="7">
        <f>'Revenue FY26-40'!O13</f>
        <v/>
      </c>
      <c r="P81" s="7">
        <f>'Revenue FY26-40'!P13</f>
        <v/>
      </c>
      <c r="Q81" s="7">
        <f>'Revenue FY26-40'!Q13</f>
        <v/>
      </c>
    </row>
    <row r="82">
      <c r="A82" s="8" t="inlineStr">
        <is>
          <t>PROPERTY TAXES</t>
        </is>
      </c>
      <c r="C82" s="7">
        <f>C80+C81</f>
        <v/>
      </c>
      <c r="D82" s="7">
        <f>D80+D81</f>
        <v/>
      </c>
      <c r="E82" s="7">
        <f>E80+E81</f>
        <v/>
      </c>
      <c r="F82" s="7">
        <f>F80+F81</f>
        <v/>
      </c>
      <c r="G82" s="7">
        <f>G80+G81</f>
        <v/>
      </c>
      <c r="H82" s="7">
        <f>H80+H81</f>
        <v/>
      </c>
      <c r="I82" s="7">
        <f>I80+I81</f>
        <v/>
      </c>
      <c r="J82" s="7">
        <f>J80+J81</f>
        <v/>
      </c>
      <c r="K82" s="7">
        <f>K80+K81</f>
        <v/>
      </c>
      <c r="L82" s="7">
        <f>L80+L81</f>
        <v/>
      </c>
      <c r="M82" s="7">
        <f>M80+M81</f>
        <v/>
      </c>
      <c r="N82" s="7">
        <f>N80+N81</f>
        <v/>
      </c>
      <c r="O82" s="7">
        <f>O80+O81</f>
        <v/>
      </c>
      <c r="P82" s="7">
        <f>P80+P81</f>
        <v/>
      </c>
      <c r="Q82" s="7">
        <f>Q80+Q81</f>
        <v/>
      </c>
    </row>
    <row r="83">
      <c r="A83" s="9" t="inlineStr">
        <is>
          <t>State Aid (= Revenue tab, trend_corrected)</t>
        </is>
      </c>
      <c r="C83" s="7">
        <f>'Revenue FY26-40'!C40</f>
        <v/>
      </c>
      <c r="D83" s="7">
        <f>'Revenue FY26-40'!D40</f>
        <v/>
      </c>
      <c r="E83" s="7">
        <f>'Revenue FY26-40'!E40</f>
        <v/>
      </c>
      <c r="F83" s="7">
        <f>'Revenue FY26-40'!F40</f>
        <v/>
      </c>
      <c r="G83" s="7">
        <f>'Revenue FY26-40'!G40</f>
        <v/>
      </c>
      <c r="H83" s="7">
        <f>'Revenue FY26-40'!H40</f>
        <v/>
      </c>
      <c r="I83" s="7">
        <f>'Revenue FY26-40'!I40</f>
        <v/>
      </c>
      <c r="J83" s="7">
        <f>'Revenue FY26-40'!J40</f>
        <v/>
      </c>
      <c r="K83" s="7">
        <f>'Revenue FY26-40'!K40</f>
        <v/>
      </c>
      <c r="L83" s="7">
        <f>'Revenue FY26-40'!L40</f>
        <v/>
      </c>
      <c r="M83" s="7">
        <f>'Revenue FY26-40'!M40</f>
        <v/>
      </c>
      <c r="N83" s="7">
        <f>'Revenue FY26-40'!N40</f>
        <v/>
      </c>
      <c r="O83" s="7">
        <f>'Revenue FY26-40'!O40</f>
        <v/>
      </c>
      <c r="P83" s="7">
        <f>'Revenue FY26-40'!P40</f>
        <v/>
      </c>
      <c r="Q83" s="7">
        <f>'Revenue FY26-40'!Q40</f>
        <v/>
      </c>
    </row>
    <row r="84">
      <c r="A84" s="6" t="inlineStr">
        <is>
          <t>Local Receipts (cited - bespoke sub-model)</t>
        </is>
      </c>
      <c r="C84" s="7" t="n">
        <v>37497677</v>
      </c>
      <c r="D84" s="7" t="n">
        <v>37633556</v>
      </c>
      <c r="E84" s="7" t="n">
        <v>40972846</v>
      </c>
      <c r="F84" s="7" t="n">
        <v>42600676</v>
      </c>
      <c r="G84" s="7" t="n">
        <v>44342137</v>
      </c>
      <c r="H84" s="7" t="n">
        <v>45949055</v>
      </c>
      <c r="I84" s="7" t="n">
        <v>48495285</v>
      </c>
      <c r="J84" s="7" t="n">
        <v>50658097</v>
      </c>
      <c r="K84" s="7" t="n">
        <v>52900945</v>
      </c>
      <c r="L84" s="7" t="n">
        <v>54999560</v>
      </c>
      <c r="M84" s="7" t="n">
        <v>57137825</v>
      </c>
      <c r="N84" s="7" t="n">
        <v>59364051</v>
      </c>
      <c r="O84" s="7" t="n">
        <v>61682087</v>
      </c>
      <c r="P84" s="7" t="n">
        <v>64095956</v>
      </c>
      <c r="Q84" s="7" t="n">
        <v>66609873</v>
      </c>
    </row>
    <row r="85">
      <c r="A85" s="9" t="inlineStr">
        <is>
          <t>Other Available Funds (= Revenue tab)</t>
        </is>
      </c>
      <c r="C85" s="7">
        <f>'Revenue FY26-40'!C16</f>
        <v/>
      </c>
      <c r="D85" s="7">
        <f>'Revenue FY26-40'!D16</f>
        <v/>
      </c>
      <c r="E85" s="7">
        <f>'Revenue FY26-40'!E16</f>
        <v/>
      </c>
      <c r="F85" s="7">
        <f>'Revenue FY26-40'!F16</f>
        <v/>
      </c>
      <c r="G85" s="7">
        <f>'Revenue FY26-40'!G16</f>
        <v/>
      </c>
      <c r="H85" s="7">
        <f>'Revenue FY26-40'!H16</f>
        <v/>
      </c>
      <c r="I85" s="7">
        <f>'Revenue FY26-40'!I16</f>
        <v/>
      </c>
      <c r="J85" s="7">
        <f>'Revenue FY26-40'!J16</f>
        <v/>
      </c>
      <c r="K85" s="7">
        <f>'Revenue FY26-40'!K16</f>
        <v/>
      </c>
      <c r="L85" s="7">
        <f>'Revenue FY26-40'!L16</f>
        <v/>
      </c>
      <c r="M85" s="7">
        <f>'Revenue FY26-40'!M16</f>
        <v/>
      </c>
      <c r="N85" s="7">
        <f>'Revenue FY26-40'!N16</f>
        <v/>
      </c>
      <c r="O85" s="7">
        <f>'Revenue FY26-40'!O16</f>
        <v/>
      </c>
      <c r="P85" s="7">
        <f>'Revenue FY26-40'!P16</f>
        <v/>
      </c>
      <c r="Q85" s="7">
        <f>'Revenue FY26-40'!Q16</f>
        <v/>
      </c>
    </row>
    <row r="86">
      <c r="A86" s="6" t="inlineStr">
        <is>
          <t>Free Cash (cited - two-year cash cycle for this scenario)</t>
        </is>
      </c>
      <c r="C86" s="7" t="n">
        <v>21303316</v>
      </c>
      <c r="D86" s="7" t="n">
        <v>18280805</v>
      </c>
      <c r="E86" s="7" t="n">
        <v>23148070</v>
      </c>
      <c r="F86" s="7" t="n">
        <v>25994459</v>
      </c>
      <c r="G86" s="7" t="n">
        <v>25873984</v>
      </c>
      <c r="H86" s="7" t="n">
        <v>27204302</v>
      </c>
      <c r="I86" s="7" t="n">
        <v>28266710</v>
      </c>
      <c r="J86" s="7" t="n">
        <v>29282681</v>
      </c>
      <c r="K86" s="7" t="n">
        <v>30733968</v>
      </c>
      <c r="L86" s="7" t="n">
        <v>32089970</v>
      </c>
      <c r="M86" s="7" t="n">
        <v>33512399</v>
      </c>
      <c r="N86" s="7" t="n">
        <v>34863684</v>
      </c>
      <c r="O86" s="7" t="n">
        <v>36258121</v>
      </c>
      <c r="P86" s="7" t="n">
        <v>37708244</v>
      </c>
      <c r="Q86" s="7" t="n">
        <v>39219926</v>
      </c>
    </row>
    <row r="87">
      <c r="A87" s="8" t="inlineStr">
        <is>
          <t>TOTAL REVENUE</t>
        </is>
      </c>
      <c r="C87" s="7">
        <f>C82+C83+C84+C85+C86</f>
        <v/>
      </c>
      <c r="D87" s="7">
        <f>D82+D83+D84+D85+D86</f>
        <v/>
      </c>
      <c r="E87" s="7">
        <f>E82+E83+E84+E85+E86</f>
        <v/>
      </c>
      <c r="F87" s="7">
        <f>F82+F83+F84+F85+F86</f>
        <v/>
      </c>
      <c r="G87" s="7">
        <f>G82+G83+G84+G85+G86</f>
        <v/>
      </c>
      <c r="H87" s="7">
        <f>H82+H83+H84+H85+H86</f>
        <v/>
      </c>
      <c r="I87" s="7">
        <f>I82+I83+I84+I85+I86</f>
        <v/>
      </c>
      <c r="J87" s="7">
        <f>J82+J83+J84+J85+J86</f>
        <v/>
      </c>
      <c r="K87" s="7">
        <f>K82+K83+K84+K85+K86</f>
        <v/>
      </c>
      <c r="L87" s="7">
        <f>L82+L83+L84+L85+L86</f>
        <v/>
      </c>
      <c r="M87" s="7">
        <f>M82+M83+M84+M85+M86</f>
        <v/>
      </c>
      <c r="N87" s="7">
        <f>N82+N83+N84+N85+N86</f>
        <v/>
      </c>
      <c r="O87" s="7">
        <f>O82+O83+O84+O85+O86</f>
        <v/>
      </c>
      <c r="P87" s="7">
        <f>P82+P83+P84+P85+P86</f>
        <v/>
      </c>
      <c r="Q87" s="7">
        <f>Q82+Q83+Q84+Q85+Q86</f>
        <v/>
      </c>
    </row>
    <row r="88">
      <c r="A88" s="9" t="inlineStr">
        <is>
          <t>Check vs. Python model (should be ~$0)</t>
        </is>
      </c>
      <c r="C88" s="7">
        <f>C87-425397407.0</f>
        <v/>
      </c>
      <c r="D88" s="7">
        <f>D87-457564626.0</f>
        <v/>
      </c>
      <c r="E88" s="7">
        <f>E87-484758617.0</f>
        <v/>
      </c>
      <c r="F88" s="7">
        <f>F87-514399814.0</f>
        <v/>
      </c>
      <c r="G88" s="7">
        <f>G87-533722334.0</f>
        <v/>
      </c>
      <c r="H88" s="7">
        <f>H87-552775917.0</f>
        <v/>
      </c>
      <c r="I88" s="7">
        <f>I87-577522600.0</f>
        <v/>
      </c>
      <c r="J88" s="7">
        <f>J87-602774974.0</f>
        <v/>
      </c>
      <c r="K88" s="7">
        <f>K87-629519744.0</f>
        <v/>
      </c>
      <c r="L88" s="7">
        <f>L87-655242633.0</f>
        <v/>
      </c>
      <c r="M88" s="7">
        <f>M87-682056593.0</f>
        <v/>
      </c>
      <c r="N88" s="7">
        <f>N87-709916035.0</f>
        <v/>
      </c>
      <c r="O88" s="7">
        <f>O87-738984709.0</f>
        <v/>
      </c>
      <c r="P88" s="7">
        <f>P87-769326810.0</f>
        <v/>
      </c>
      <c r="Q88" s="7">
        <f>Q87-801002175.0</f>
        <v/>
      </c>
    </row>
  </sheetData>
  <mergeCells count="2">
    <mergeCell ref="A3:Q3"/>
    <mergeCell ref="A1:W1"/>
  </mergeCells>
  <conditionalFormatting sqref="C25:W25">
    <cfRule type="cellIs" priority="1" operator="greaterThan" dxfId="0">
      <formula>6</formula>
    </cfRule>
    <cfRule type="cellIs" priority="2" operator="lessThan" dxfId="0">
      <formula>-6</formula>
    </cfRule>
  </conditionalFormatting>
  <conditionalFormatting sqref="C46:W46">
    <cfRule type="cellIs" priority="3" operator="greaterThan" dxfId="0">
      <formula>6</formula>
    </cfRule>
    <cfRule type="cellIs" priority="4" operator="lessThan" dxfId="0">
      <formula>-6</formula>
    </cfRule>
  </conditionalFormatting>
  <conditionalFormatting sqref="C67:W67">
    <cfRule type="cellIs" priority="5" operator="greaterThan" dxfId="0">
      <formula>6</formula>
    </cfRule>
    <cfRule type="cellIs" priority="6" operator="lessThan" dxfId="0">
      <formula>-6</formula>
    </cfRule>
  </conditionalFormatting>
  <conditionalFormatting sqref="C88:W88">
    <cfRule type="cellIs" priority="7" operator="greaterThan" dxfId="0">
      <formula>6</formula>
    </cfRule>
    <cfRule type="cellIs" priority="8" operator="lessThan" dxfId="0">
      <formula>-6</formula>
    </cfRule>
  </conditionalFormatting>
  <pageMargins left="0.75" right="0.75" top="1" bottom="1" header="0.5" footer="0.5"/>
</worksheet>
</file>

<file path=xl/worksheets/sheet8.xml><?xml version="1.0" encoding="utf-8"?>
<worksheet xmlns="http://schemas.openxmlformats.org/spreadsheetml/2006/main">
  <sheetPr>
    <outlinePr summaryBelow="1" summaryRight="1"/>
    <pageSetUpPr/>
  </sheetPr>
  <dimension ref="A1:W58"/>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46"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Existing (pre-2005) vs. New Cohort — Forecast, FY2026-2040</t>
        </is>
      </c>
    </row>
    <row r="2"/>
    <row r="3" ht="42" customHeight="1">
      <c r="A3" s="2" t="inlineStr">
        <is>
          <t>Forward continuation of the Historical tab's cohort split, under each of Phase 2's 4 new-growth scenarios. Anchored on FY2025's real existing/new split (Historical tab), rescaled onto each scenario's own FY2025 operating-levy base (see methodology doc's 'Anchor reconciliation'). Answers: what does new growth buy existing residents?</t>
        </is>
      </c>
    </row>
    <row r="4"/>
    <row r="5">
      <c r="A5" s="3" t="inlineStr">
        <is>
          <t>Scenario: trend_continues</t>
        </is>
      </c>
    </row>
    <row r="6">
      <c r="A6" s="9" t="inlineStr">
        <is>
          <t>Prior-year operating levy (helper)</t>
        </is>
      </c>
      <c r="C6" s="7">
        <f>('Historical FY05-25'!W13-'Historical FY05-25'!W11)</f>
        <v/>
      </c>
      <c r="D6" s="7">
        <f>'New Growth Scenarios'!C17</f>
        <v/>
      </c>
      <c r="E6" s="7">
        <f>'New Growth Scenarios'!D17</f>
        <v/>
      </c>
      <c r="F6" s="7">
        <f>'New Growth Scenarios'!E17</f>
        <v/>
      </c>
      <c r="G6" s="7">
        <f>'New Growth Scenarios'!F17</f>
        <v/>
      </c>
      <c r="H6" s="7">
        <f>'New Growth Scenarios'!G17</f>
        <v/>
      </c>
      <c r="I6" s="7">
        <f>'New Growth Scenarios'!H17</f>
        <v/>
      </c>
      <c r="J6" s="7">
        <f>'New Growth Scenarios'!I17</f>
        <v/>
      </c>
      <c r="K6" s="7">
        <f>'New Growth Scenarios'!J17</f>
        <v/>
      </c>
      <c r="L6" s="7">
        <f>'New Growth Scenarios'!K17</f>
        <v/>
      </c>
      <c r="M6" s="7">
        <f>'New Growth Scenarios'!L17</f>
        <v/>
      </c>
      <c r="N6" s="7">
        <f>'New Growth Scenarios'!M17</f>
        <v/>
      </c>
      <c r="O6" s="7">
        <f>'New Growth Scenarios'!N17</f>
        <v/>
      </c>
      <c r="P6" s="7">
        <f>'New Growth Scenarios'!O17</f>
        <v/>
      </c>
      <c r="Q6" s="7">
        <f>'New Growth Scenarios'!P17</f>
        <v/>
      </c>
    </row>
    <row r="7">
      <c r="A7" s="9" t="inlineStr">
        <is>
          <t>New growth this year (= operating − prior×1.025)</t>
        </is>
      </c>
      <c r="C7" s="7">
        <f>'New Growth Scenarios'!C17-C6*1.025</f>
        <v/>
      </c>
      <c r="D7" s="7">
        <f>'New Growth Scenarios'!D17-D6*1.025</f>
        <v/>
      </c>
      <c r="E7" s="7">
        <f>'New Growth Scenarios'!E17-E6*1.025</f>
        <v/>
      </c>
      <c r="F7" s="7">
        <f>'New Growth Scenarios'!F17-F6*1.025</f>
        <v/>
      </c>
      <c r="G7" s="7">
        <f>'New Growth Scenarios'!G17-G6*1.025</f>
        <v/>
      </c>
      <c r="H7" s="7">
        <f>'New Growth Scenarios'!H17-H6*1.025</f>
        <v/>
      </c>
      <c r="I7" s="7">
        <f>'New Growth Scenarios'!I17-I6*1.025</f>
        <v/>
      </c>
      <c r="J7" s="7">
        <f>'New Growth Scenarios'!J17-J6*1.025</f>
        <v/>
      </c>
      <c r="K7" s="7">
        <f>'New Growth Scenarios'!K17-K6*1.025</f>
        <v/>
      </c>
      <c r="L7" s="7">
        <f>'New Growth Scenarios'!L17-L6*1.025</f>
        <v/>
      </c>
      <c r="M7" s="7">
        <f>'New Growth Scenarios'!M17-M6*1.025</f>
        <v/>
      </c>
      <c r="N7" s="7">
        <f>'New Growth Scenarios'!N17-N6*1.025</f>
        <v/>
      </c>
      <c r="O7" s="7">
        <f>'New Growth Scenarios'!O17-O6*1.025</f>
        <v/>
      </c>
      <c r="P7" s="7">
        <f>'New Growth Scenarios'!P17-P6*1.025</f>
        <v/>
      </c>
      <c r="Q7" s="7">
        <f>'New Growth Scenarios'!Q17-Q6*1.025</f>
        <v/>
      </c>
    </row>
    <row r="8">
      <c r="A8" s="8" t="inlineStr">
        <is>
          <t>Existing: allowed levy limit</t>
        </is>
      </c>
      <c r="C8" s="7">
        <f>((('Historical FY05-25'!W31/('Historical FY05-25'!W31+'Historical FY05-25'!W35))*('Historical FY05-25'!W13-'Historical FY05-25'!W11))*1.025)</f>
        <v/>
      </c>
      <c r="D8" s="7">
        <f>(C8*1.025)</f>
        <v/>
      </c>
      <c r="E8" s="7">
        <f>(D8*1.025)</f>
        <v/>
      </c>
      <c r="F8" s="7">
        <f>(E8*1.025)</f>
        <v/>
      </c>
      <c r="G8" s="7">
        <f>(F8*1.025)</f>
        <v/>
      </c>
      <c r="H8" s="7">
        <f>(G8*1.025)</f>
        <v/>
      </c>
      <c r="I8" s="7">
        <f>(H8*1.025)</f>
        <v/>
      </c>
      <c r="J8" s="7">
        <f>(I8*1.025)</f>
        <v/>
      </c>
      <c r="K8" s="7">
        <f>(J8*1.025)</f>
        <v/>
      </c>
      <c r="L8" s="7">
        <f>(K8*1.025)</f>
        <v/>
      </c>
      <c r="M8" s="7">
        <f>(L8*1.025)</f>
        <v/>
      </c>
      <c r="N8" s="7">
        <f>(M8*1.025)</f>
        <v/>
      </c>
      <c r="O8" s="7">
        <f>(N8*1.025)</f>
        <v/>
      </c>
      <c r="P8" s="7">
        <f>(O8*1.025)</f>
        <v/>
      </c>
      <c r="Q8" s="7">
        <f>(P8*1.025)</f>
        <v/>
      </c>
    </row>
    <row r="9">
      <c r="A9" s="8" t="inlineStr">
        <is>
          <t>New: allowed levy limit</t>
        </is>
      </c>
      <c r="C9" s="7">
        <f>(((1-('Historical FY05-25'!W31/('Historical FY05-25'!W31+'Historical FY05-25'!W35)))*('Historical FY05-25'!W13-'Historical FY05-25'!W11))*1.025+C7)</f>
        <v/>
      </c>
      <c r="D9" s="7">
        <f>(C9*1.025+D7)</f>
        <v/>
      </c>
      <c r="E9" s="7">
        <f>(D9*1.025+E7)</f>
        <v/>
      </c>
      <c r="F9" s="7">
        <f>(E9*1.025+F7)</f>
        <v/>
      </c>
      <c r="G9" s="7">
        <f>(F9*1.025+G7)</f>
        <v/>
      </c>
      <c r="H9" s="7">
        <f>(G9*1.025+H7)</f>
        <v/>
      </c>
      <c r="I9" s="7">
        <f>(H9*1.025+I7)</f>
        <v/>
      </c>
      <c r="J9" s="7">
        <f>(I9*1.025+J7)</f>
        <v/>
      </c>
      <c r="K9" s="7">
        <f>(J9*1.025+K7)</f>
        <v/>
      </c>
      <c r="L9" s="7">
        <f>(K9*1.025+L7)</f>
        <v/>
      </c>
      <c r="M9" s="7">
        <f>(L9*1.025+M7)</f>
        <v/>
      </c>
      <c r="N9" s="7">
        <f>(M9*1.025+N7)</f>
        <v/>
      </c>
      <c r="O9" s="7">
        <f>(N9*1.025+O7)</f>
        <v/>
      </c>
      <c r="P9" s="7">
        <f>(O9*1.025+P7)</f>
        <v/>
      </c>
      <c r="Q9" s="7">
        <f>(P9*1.025+Q7)</f>
        <v/>
      </c>
    </row>
    <row r="10">
      <c r="A10" s="9" t="inlineStr">
        <is>
          <t>Existing share (helper)</t>
        </is>
      </c>
      <c r="C10" s="15">
        <f>((('Historical FY05-25'!W31/('Historical FY05-25'!W31+'Historical FY05-25'!W35))*('Historical FY05-25'!W13-'Historical FY05-25'!W11))*1.025)/(((('Historical FY05-25'!W31/('Historical FY05-25'!W31+'Historical FY05-25'!W35))*('Historical FY05-25'!W13-'Historical FY05-25'!W11))*1.025)+(((1-('Historical FY05-25'!W31/('Historical FY05-25'!W31+'Historical FY05-25'!W35)))*('Historical FY05-25'!W13-'Historical FY05-25'!W11))*1.025+C7))</f>
        <v/>
      </c>
      <c r="D10" s="15">
        <f>(C8*1.025)/((C8*1.025)+(C9*1.025+D7))</f>
        <v/>
      </c>
      <c r="E10" s="15">
        <f>(D8*1.025)/((D8*1.025)+(D9*1.025+E7))</f>
        <v/>
      </c>
      <c r="F10" s="15">
        <f>(E8*1.025)/((E8*1.025)+(E9*1.025+F7))</f>
        <v/>
      </c>
      <c r="G10" s="15">
        <f>(F8*1.025)/((F8*1.025)+(F9*1.025+G7))</f>
        <v/>
      </c>
      <c r="H10" s="15">
        <f>(G8*1.025)/((G8*1.025)+(G9*1.025+H7))</f>
        <v/>
      </c>
      <c r="I10" s="15">
        <f>(H8*1.025)/((H8*1.025)+(H9*1.025+I7))</f>
        <v/>
      </c>
      <c r="J10" s="15">
        <f>(I8*1.025)/((I8*1.025)+(I9*1.025+J7))</f>
        <v/>
      </c>
      <c r="K10" s="15">
        <f>(J8*1.025)/((J8*1.025)+(J9*1.025+K7))</f>
        <v/>
      </c>
      <c r="L10" s="15">
        <f>(K8*1.025)/((K8*1.025)+(K9*1.025+L7))</f>
        <v/>
      </c>
      <c r="M10" s="15">
        <f>(L8*1.025)/((L8*1.025)+(L9*1.025+M7))</f>
        <v/>
      </c>
      <c r="N10" s="15">
        <f>(M8*1.025)/((M8*1.025)+(M9*1.025+N7))</f>
        <v/>
      </c>
      <c r="O10" s="15">
        <f>(N8*1.025)/((N8*1.025)+(N9*1.025+O7))</f>
        <v/>
      </c>
      <c r="P10" s="15">
        <f>(O8*1.025)/((O8*1.025)+(O9*1.025+P7))</f>
        <v/>
      </c>
      <c r="Q10" s="15">
        <f>(P8*1.025)/((P8*1.025)+(P9*1.025+Q7))</f>
        <v/>
      </c>
    </row>
    <row r="11">
      <c r="A11" s="9" t="inlineStr">
        <is>
          <t>Existing: debt-exclusion share</t>
        </is>
      </c>
      <c r="C11" s="7">
        <f>'Revenue FY26-40'!C13*C10</f>
        <v/>
      </c>
      <c r="D11" s="7">
        <f>'Revenue FY26-40'!D13*D10</f>
        <v/>
      </c>
      <c r="E11" s="7">
        <f>'Revenue FY26-40'!E13*E10</f>
        <v/>
      </c>
      <c r="F11" s="7">
        <f>'Revenue FY26-40'!F13*F10</f>
        <v/>
      </c>
      <c r="G11" s="7">
        <f>'Revenue FY26-40'!G13*G10</f>
        <v/>
      </c>
      <c r="H11" s="7">
        <f>'Revenue FY26-40'!H13*H10</f>
        <v/>
      </c>
      <c r="I11" s="7">
        <f>'Revenue FY26-40'!I13*I10</f>
        <v/>
      </c>
      <c r="J11" s="7">
        <f>'Revenue FY26-40'!J13*J10</f>
        <v/>
      </c>
      <c r="K11" s="7">
        <f>'Revenue FY26-40'!K13*K10</f>
        <v/>
      </c>
      <c r="L11" s="7">
        <f>'Revenue FY26-40'!L13*L10</f>
        <v/>
      </c>
      <c r="M11" s="7">
        <f>'Revenue FY26-40'!M13*M10</f>
        <v/>
      </c>
      <c r="N11" s="7">
        <f>'Revenue FY26-40'!N13*N10</f>
        <v/>
      </c>
      <c r="O11" s="7">
        <f>'Revenue FY26-40'!O13*O10</f>
        <v/>
      </c>
      <c r="P11" s="7">
        <f>'Revenue FY26-40'!P13*P10</f>
        <v/>
      </c>
      <c r="Q11" s="7">
        <f>'Revenue FY26-40'!Q13*Q10</f>
        <v/>
      </c>
    </row>
    <row r="12">
      <c r="A12" s="9" t="inlineStr">
        <is>
          <t>New: debt-exclusion share</t>
        </is>
      </c>
      <c r="C12" s="7">
        <f>'Revenue FY26-40'!C13*(1-C10)</f>
        <v/>
      </c>
      <c r="D12" s="7">
        <f>'Revenue FY26-40'!D13*(1-D10)</f>
        <v/>
      </c>
      <c r="E12" s="7">
        <f>'Revenue FY26-40'!E13*(1-E10)</f>
        <v/>
      </c>
      <c r="F12" s="7">
        <f>'Revenue FY26-40'!F13*(1-F10)</f>
        <v/>
      </c>
      <c r="G12" s="7">
        <f>'Revenue FY26-40'!G13*(1-G10)</f>
        <v/>
      </c>
      <c r="H12" s="7">
        <f>'Revenue FY26-40'!H13*(1-H10)</f>
        <v/>
      </c>
      <c r="I12" s="7">
        <f>'Revenue FY26-40'!I13*(1-I10)</f>
        <v/>
      </c>
      <c r="J12" s="7">
        <f>'Revenue FY26-40'!J13*(1-J10)</f>
        <v/>
      </c>
      <c r="K12" s="7">
        <f>'Revenue FY26-40'!K13*(1-K10)</f>
        <v/>
      </c>
      <c r="L12" s="7">
        <f>'Revenue FY26-40'!L13*(1-L10)</f>
        <v/>
      </c>
      <c r="M12" s="7">
        <f>'Revenue FY26-40'!M13*(1-M10)</f>
        <v/>
      </c>
      <c r="N12" s="7">
        <f>'Revenue FY26-40'!N13*(1-N10)</f>
        <v/>
      </c>
      <c r="O12" s="7">
        <f>'Revenue FY26-40'!O13*(1-O10)</f>
        <v/>
      </c>
      <c r="P12" s="7">
        <f>'Revenue FY26-40'!P13*(1-P10)</f>
        <v/>
      </c>
      <c r="Q12" s="7">
        <f>'Revenue FY26-40'!Q13*(1-Q10)</f>
        <v/>
      </c>
    </row>
    <row r="13">
      <c r="A13" s="8" t="inlineStr">
        <is>
          <t>Existing: TOTAL TAX</t>
        </is>
      </c>
      <c r="C13" s="7">
        <f>C8+C11</f>
        <v/>
      </c>
      <c r="D13" s="7">
        <f>D8+D11</f>
        <v/>
      </c>
      <c r="E13" s="7">
        <f>E8+E11</f>
        <v/>
      </c>
      <c r="F13" s="7">
        <f>F8+F11</f>
        <v/>
      </c>
      <c r="G13" s="7">
        <f>G8+G11</f>
        <v/>
      </c>
      <c r="H13" s="7">
        <f>H8+H11</f>
        <v/>
      </c>
      <c r="I13" s="7">
        <f>I8+I11</f>
        <v/>
      </c>
      <c r="J13" s="7">
        <f>J8+J11</f>
        <v/>
      </c>
      <c r="K13" s="7">
        <f>K8+K11</f>
        <v/>
      </c>
      <c r="L13" s="7">
        <f>L8+L11</f>
        <v/>
      </c>
      <c r="M13" s="7">
        <f>M8+M11</f>
        <v/>
      </c>
      <c r="N13" s="7">
        <f>N8+N11</f>
        <v/>
      </c>
      <c r="O13" s="7">
        <f>O8+O11</f>
        <v/>
      </c>
      <c r="P13" s="7">
        <f>P8+P11</f>
        <v/>
      </c>
      <c r="Q13" s="7">
        <f>Q8+Q11</f>
        <v/>
      </c>
    </row>
    <row r="14">
      <c r="A14" s="8" t="inlineStr">
        <is>
          <t>New: TOTAL TAX</t>
        </is>
      </c>
      <c r="C14" s="7">
        <f>C9+C12</f>
        <v/>
      </c>
      <c r="D14" s="7">
        <f>D9+D12</f>
        <v/>
      </c>
      <c r="E14" s="7">
        <f>E9+E12</f>
        <v/>
      </c>
      <c r="F14" s="7">
        <f>F9+F12</f>
        <v/>
      </c>
      <c r="G14" s="7">
        <f>G9+G12</f>
        <v/>
      </c>
      <c r="H14" s="7">
        <f>H9+H12</f>
        <v/>
      </c>
      <c r="I14" s="7">
        <f>I9+I12</f>
        <v/>
      </c>
      <c r="J14" s="7">
        <f>J9+J12</f>
        <v/>
      </c>
      <c r="K14" s="7">
        <f>K9+K12</f>
        <v/>
      </c>
      <c r="L14" s="7">
        <f>L9+L12</f>
        <v/>
      </c>
      <c r="M14" s="7">
        <f>M9+M12</f>
        <v/>
      </c>
      <c r="N14" s="7">
        <f>N9+N12</f>
        <v/>
      </c>
      <c r="O14" s="7">
        <f>O9+O12</f>
        <v/>
      </c>
      <c r="P14" s="7">
        <f>P9+P12</f>
        <v/>
      </c>
      <c r="Q14" s="7">
        <f>Q9+Q12</f>
        <v/>
      </c>
    </row>
    <row r="15">
      <c r="A15" s="9" t="inlineStr">
        <is>
          <t xml:space="preserve">  Existing cohort YoY growth</t>
        </is>
      </c>
      <c r="D15" s="15">
        <f>D13/C13-1</f>
        <v/>
      </c>
      <c r="E15" s="15">
        <f>E13/D13-1</f>
        <v/>
      </c>
      <c r="F15" s="15">
        <f>F13/E13-1</f>
        <v/>
      </c>
      <c r="G15" s="15">
        <f>G13/F13-1</f>
        <v/>
      </c>
      <c r="H15" s="15">
        <f>H13/G13-1</f>
        <v/>
      </c>
      <c r="I15" s="15">
        <f>I13/H13-1</f>
        <v/>
      </c>
      <c r="J15" s="15">
        <f>J13/I13-1</f>
        <v/>
      </c>
      <c r="K15" s="15">
        <f>K13/J13-1</f>
        <v/>
      </c>
      <c r="L15" s="15">
        <f>L13/K13-1</f>
        <v/>
      </c>
      <c r="M15" s="15">
        <f>M13/L13-1</f>
        <v/>
      </c>
      <c r="N15" s="15">
        <f>N13/M13-1</f>
        <v/>
      </c>
      <c r="O15" s="15">
        <f>O13/N13-1</f>
        <v/>
      </c>
      <c r="P15" s="15">
        <f>P13/O13-1</f>
        <v/>
      </c>
      <c r="Q15" s="15">
        <f>Q13/P13-1</f>
        <v/>
      </c>
    </row>
    <row r="16">
      <c r="A16" s="9" t="inlineStr">
        <is>
          <t>Check vs. Python model (should be ~$0)</t>
        </is>
      </c>
      <c r="C16" s="7">
        <f>C13-251692460.0</f>
        <v/>
      </c>
      <c r="D16" s="7">
        <f>D13-261437285.0</f>
        <v/>
      </c>
      <c r="E16" s="7">
        <f>E13-267056618.0</f>
        <v/>
      </c>
      <c r="F16" s="7">
        <f>F13-272744312.0</f>
        <v/>
      </c>
      <c r="G16" s="7">
        <f>G13-278634647.0</f>
        <v/>
      </c>
      <c r="H16" s="7">
        <f>H13-284688867.0</f>
        <v/>
      </c>
      <c r="I16" s="7">
        <f>I13-290793121.0</f>
        <v/>
      </c>
      <c r="J16" s="7">
        <f>J13-297071052.0</f>
        <v/>
      </c>
      <c r="K16" s="7">
        <f>K13-303526225.0</f>
        <v/>
      </c>
      <c r="L16" s="7">
        <f>L13-310251206.0</f>
        <v/>
      </c>
      <c r="M16" s="7">
        <f>M13-317154934.0</f>
        <v/>
      </c>
      <c r="N16" s="7">
        <f>N13-324241745.0</f>
        <v/>
      </c>
      <c r="O16" s="7">
        <f>O13-331516088.0</f>
        <v/>
      </c>
      <c r="P16" s="7">
        <f>P13-338982525.0</f>
        <v/>
      </c>
      <c r="Q16" s="7">
        <f>Q13-346645730.0</f>
        <v/>
      </c>
    </row>
    <row r="17"/>
    <row r="18"/>
    <row r="19">
      <c r="A19" s="3" t="inlineStr">
        <is>
          <t>Scenario: peer_target_residential_led</t>
        </is>
      </c>
    </row>
    <row r="20">
      <c r="A20" s="9" t="inlineStr">
        <is>
          <t>Prior-year operating levy (helper)</t>
        </is>
      </c>
      <c r="C20" s="7">
        <f>('Historical FY05-25'!W13-'Historical FY05-25'!W11)</f>
        <v/>
      </c>
      <c r="D20" s="7">
        <f>'New Growth Scenarios'!C38</f>
        <v/>
      </c>
      <c r="E20" s="7">
        <f>'New Growth Scenarios'!D38</f>
        <v/>
      </c>
      <c r="F20" s="7">
        <f>'New Growth Scenarios'!E38</f>
        <v/>
      </c>
      <c r="G20" s="7">
        <f>'New Growth Scenarios'!F38</f>
        <v/>
      </c>
      <c r="H20" s="7">
        <f>'New Growth Scenarios'!G38</f>
        <v/>
      </c>
      <c r="I20" s="7">
        <f>'New Growth Scenarios'!H38</f>
        <v/>
      </c>
      <c r="J20" s="7">
        <f>'New Growth Scenarios'!I38</f>
        <v/>
      </c>
      <c r="K20" s="7">
        <f>'New Growth Scenarios'!J38</f>
        <v/>
      </c>
      <c r="L20" s="7">
        <f>'New Growth Scenarios'!K38</f>
        <v/>
      </c>
      <c r="M20" s="7">
        <f>'New Growth Scenarios'!L38</f>
        <v/>
      </c>
      <c r="N20" s="7">
        <f>'New Growth Scenarios'!M38</f>
        <v/>
      </c>
      <c r="O20" s="7">
        <f>'New Growth Scenarios'!N38</f>
        <v/>
      </c>
      <c r="P20" s="7">
        <f>'New Growth Scenarios'!O38</f>
        <v/>
      </c>
      <c r="Q20" s="7">
        <f>'New Growth Scenarios'!P38</f>
        <v/>
      </c>
    </row>
    <row r="21">
      <c r="A21" s="9" t="inlineStr">
        <is>
          <t>New growth this year (= operating − prior×1.025)</t>
        </is>
      </c>
      <c r="C21" s="7">
        <f>'New Growth Scenarios'!C38-C20*1.025</f>
        <v/>
      </c>
      <c r="D21" s="7">
        <f>'New Growth Scenarios'!D38-D20*1.025</f>
        <v/>
      </c>
      <c r="E21" s="7">
        <f>'New Growth Scenarios'!E38-E20*1.025</f>
        <v/>
      </c>
      <c r="F21" s="7">
        <f>'New Growth Scenarios'!F38-F20*1.025</f>
        <v/>
      </c>
      <c r="G21" s="7">
        <f>'New Growth Scenarios'!G38-G20*1.025</f>
        <v/>
      </c>
      <c r="H21" s="7">
        <f>'New Growth Scenarios'!H38-H20*1.025</f>
        <v/>
      </c>
      <c r="I21" s="7">
        <f>'New Growth Scenarios'!I38-I20*1.025</f>
        <v/>
      </c>
      <c r="J21" s="7">
        <f>'New Growth Scenarios'!J38-J20*1.025</f>
        <v/>
      </c>
      <c r="K21" s="7">
        <f>'New Growth Scenarios'!K38-K20*1.025</f>
        <v/>
      </c>
      <c r="L21" s="7">
        <f>'New Growth Scenarios'!L38-L20*1.025</f>
        <v/>
      </c>
      <c r="M21" s="7">
        <f>'New Growth Scenarios'!M38-M20*1.025</f>
        <v/>
      </c>
      <c r="N21" s="7">
        <f>'New Growth Scenarios'!N38-N20*1.025</f>
        <v/>
      </c>
      <c r="O21" s="7">
        <f>'New Growth Scenarios'!O38-O20*1.025</f>
        <v/>
      </c>
      <c r="P21" s="7">
        <f>'New Growth Scenarios'!P38-P20*1.025</f>
        <v/>
      </c>
      <c r="Q21" s="7">
        <f>'New Growth Scenarios'!Q38-Q20*1.025</f>
        <v/>
      </c>
    </row>
    <row r="22">
      <c r="A22" s="8" t="inlineStr">
        <is>
          <t>Existing: allowed levy limit</t>
        </is>
      </c>
      <c r="C22" s="7">
        <f>((('Historical FY05-25'!W31/('Historical FY05-25'!W31+'Historical FY05-25'!W35))*('Historical FY05-25'!W13-'Historical FY05-25'!W11))*1.025)</f>
        <v/>
      </c>
      <c r="D22" s="7">
        <f>(C22*1.025)</f>
        <v/>
      </c>
      <c r="E22" s="7">
        <f>(D22*1.025)</f>
        <v/>
      </c>
      <c r="F22" s="7">
        <f>(E22*1.025)</f>
        <v/>
      </c>
      <c r="G22" s="7">
        <f>(F22*1.025)</f>
        <v/>
      </c>
      <c r="H22" s="7">
        <f>(G22*1.025)</f>
        <v/>
      </c>
      <c r="I22" s="7">
        <f>(H22*1.025)</f>
        <v/>
      </c>
      <c r="J22" s="7">
        <f>(I22*1.025)</f>
        <v/>
      </c>
      <c r="K22" s="7">
        <f>(J22*1.025)</f>
        <v/>
      </c>
      <c r="L22" s="7">
        <f>(K22*1.025)</f>
        <v/>
      </c>
      <c r="M22" s="7">
        <f>(L22*1.025)</f>
        <v/>
      </c>
      <c r="N22" s="7">
        <f>(M22*1.025)</f>
        <v/>
      </c>
      <c r="O22" s="7">
        <f>(N22*1.025)</f>
        <v/>
      </c>
      <c r="P22" s="7">
        <f>(O22*1.025)</f>
        <v/>
      </c>
      <c r="Q22" s="7">
        <f>(P22*1.025)</f>
        <v/>
      </c>
    </row>
    <row r="23">
      <c r="A23" s="8" t="inlineStr">
        <is>
          <t>New: allowed levy limit</t>
        </is>
      </c>
      <c r="C23" s="7">
        <f>(((1-('Historical FY05-25'!W31/('Historical FY05-25'!W31+'Historical FY05-25'!W35)))*('Historical FY05-25'!W13-'Historical FY05-25'!W11))*1.025+C21)</f>
        <v/>
      </c>
      <c r="D23" s="7">
        <f>(C23*1.025+D21)</f>
        <v/>
      </c>
      <c r="E23" s="7">
        <f>(D23*1.025+E21)</f>
        <v/>
      </c>
      <c r="F23" s="7">
        <f>(E23*1.025+F21)</f>
        <v/>
      </c>
      <c r="G23" s="7">
        <f>(F23*1.025+G21)</f>
        <v/>
      </c>
      <c r="H23" s="7">
        <f>(G23*1.025+H21)</f>
        <v/>
      </c>
      <c r="I23" s="7">
        <f>(H23*1.025+I21)</f>
        <v/>
      </c>
      <c r="J23" s="7">
        <f>(I23*1.025+J21)</f>
        <v/>
      </c>
      <c r="K23" s="7">
        <f>(J23*1.025+K21)</f>
        <v/>
      </c>
      <c r="L23" s="7">
        <f>(K23*1.025+L21)</f>
        <v/>
      </c>
      <c r="M23" s="7">
        <f>(L23*1.025+M21)</f>
        <v/>
      </c>
      <c r="N23" s="7">
        <f>(M23*1.025+N21)</f>
        <v/>
      </c>
      <c r="O23" s="7">
        <f>(N23*1.025+O21)</f>
        <v/>
      </c>
      <c r="P23" s="7">
        <f>(O23*1.025+P21)</f>
        <v/>
      </c>
      <c r="Q23" s="7">
        <f>(P23*1.025+Q21)</f>
        <v/>
      </c>
    </row>
    <row r="24">
      <c r="A24" s="9" t="inlineStr">
        <is>
          <t>Existing share (helper)</t>
        </is>
      </c>
      <c r="C24" s="15">
        <f>((('Historical FY05-25'!W31/('Historical FY05-25'!W31+'Historical FY05-25'!W35))*('Historical FY05-25'!W13-'Historical FY05-25'!W11))*1.025)/(((('Historical FY05-25'!W31/('Historical FY05-25'!W31+'Historical FY05-25'!W35))*('Historical FY05-25'!W13-'Historical FY05-25'!W11))*1.025)+(((1-('Historical FY05-25'!W31/('Historical FY05-25'!W31+'Historical FY05-25'!W35)))*('Historical FY05-25'!W13-'Historical FY05-25'!W11))*1.025+C21))</f>
        <v/>
      </c>
      <c r="D24" s="15">
        <f>(C22*1.025)/((C22*1.025)+(C23*1.025+D21))</f>
        <v/>
      </c>
      <c r="E24" s="15">
        <f>(D22*1.025)/((D22*1.025)+(D23*1.025+E21))</f>
        <v/>
      </c>
      <c r="F24" s="15">
        <f>(E22*1.025)/((E22*1.025)+(E23*1.025+F21))</f>
        <v/>
      </c>
      <c r="G24" s="15">
        <f>(F22*1.025)/((F22*1.025)+(F23*1.025+G21))</f>
        <v/>
      </c>
      <c r="H24" s="15">
        <f>(G22*1.025)/((G22*1.025)+(G23*1.025+H21))</f>
        <v/>
      </c>
      <c r="I24" s="15">
        <f>(H22*1.025)/((H22*1.025)+(H23*1.025+I21))</f>
        <v/>
      </c>
      <c r="J24" s="15">
        <f>(I22*1.025)/((I22*1.025)+(I23*1.025+J21))</f>
        <v/>
      </c>
      <c r="K24" s="15">
        <f>(J22*1.025)/((J22*1.025)+(J23*1.025+K21))</f>
        <v/>
      </c>
      <c r="L24" s="15">
        <f>(K22*1.025)/((K22*1.025)+(K23*1.025+L21))</f>
        <v/>
      </c>
      <c r="M24" s="15">
        <f>(L22*1.025)/((L22*1.025)+(L23*1.025+M21))</f>
        <v/>
      </c>
      <c r="N24" s="15">
        <f>(M22*1.025)/((M22*1.025)+(M23*1.025+N21))</f>
        <v/>
      </c>
      <c r="O24" s="15">
        <f>(N22*1.025)/((N22*1.025)+(N23*1.025+O21))</f>
        <v/>
      </c>
      <c r="P24" s="15">
        <f>(O22*1.025)/((O22*1.025)+(O23*1.025+P21))</f>
        <v/>
      </c>
      <c r="Q24" s="15">
        <f>(P22*1.025)/((P22*1.025)+(P23*1.025+Q21))</f>
        <v/>
      </c>
    </row>
    <row r="25">
      <c r="A25" s="9" t="inlineStr">
        <is>
          <t>Existing: debt-exclusion share</t>
        </is>
      </c>
      <c r="C25" s="7">
        <f>'Revenue FY26-40'!C13*C24</f>
        <v/>
      </c>
      <c r="D25" s="7">
        <f>'Revenue FY26-40'!D13*D24</f>
        <v/>
      </c>
      <c r="E25" s="7">
        <f>'Revenue FY26-40'!E13*E24</f>
        <v/>
      </c>
      <c r="F25" s="7">
        <f>'Revenue FY26-40'!F13*F24</f>
        <v/>
      </c>
      <c r="G25" s="7">
        <f>'Revenue FY26-40'!G13*G24</f>
        <v/>
      </c>
      <c r="H25" s="7">
        <f>'Revenue FY26-40'!H13*H24</f>
        <v/>
      </c>
      <c r="I25" s="7">
        <f>'Revenue FY26-40'!I13*I24</f>
        <v/>
      </c>
      <c r="J25" s="7">
        <f>'Revenue FY26-40'!J13*J24</f>
        <v/>
      </c>
      <c r="K25" s="7">
        <f>'Revenue FY26-40'!K13*K24</f>
        <v/>
      </c>
      <c r="L25" s="7">
        <f>'Revenue FY26-40'!L13*L24</f>
        <v/>
      </c>
      <c r="M25" s="7">
        <f>'Revenue FY26-40'!M13*M24</f>
        <v/>
      </c>
      <c r="N25" s="7">
        <f>'Revenue FY26-40'!N13*N24</f>
        <v/>
      </c>
      <c r="O25" s="7">
        <f>'Revenue FY26-40'!O13*O24</f>
        <v/>
      </c>
      <c r="P25" s="7">
        <f>'Revenue FY26-40'!P13*P24</f>
        <v/>
      </c>
      <c r="Q25" s="7">
        <f>'Revenue FY26-40'!Q13*Q24</f>
        <v/>
      </c>
    </row>
    <row r="26">
      <c r="A26" s="9" t="inlineStr">
        <is>
          <t>New: debt-exclusion share</t>
        </is>
      </c>
      <c r="C26" s="7">
        <f>'Revenue FY26-40'!C13*(1-C24)</f>
        <v/>
      </c>
      <c r="D26" s="7">
        <f>'Revenue FY26-40'!D13*(1-D24)</f>
        <v/>
      </c>
      <c r="E26" s="7">
        <f>'Revenue FY26-40'!E13*(1-E24)</f>
        <v/>
      </c>
      <c r="F26" s="7">
        <f>'Revenue FY26-40'!F13*(1-F24)</f>
        <v/>
      </c>
      <c r="G26" s="7">
        <f>'Revenue FY26-40'!G13*(1-G24)</f>
        <v/>
      </c>
      <c r="H26" s="7">
        <f>'Revenue FY26-40'!H13*(1-H24)</f>
        <v/>
      </c>
      <c r="I26" s="7">
        <f>'Revenue FY26-40'!I13*(1-I24)</f>
        <v/>
      </c>
      <c r="J26" s="7">
        <f>'Revenue FY26-40'!J13*(1-J24)</f>
        <v/>
      </c>
      <c r="K26" s="7">
        <f>'Revenue FY26-40'!K13*(1-K24)</f>
        <v/>
      </c>
      <c r="L26" s="7">
        <f>'Revenue FY26-40'!L13*(1-L24)</f>
        <v/>
      </c>
      <c r="M26" s="7">
        <f>'Revenue FY26-40'!M13*(1-M24)</f>
        <v/>
      </c>
      <c r="N26" s="7">
        <f>'Revenue FY26-40'!N13*(1-N24)</f>
        <v/>
      </c>
      <c r="O26" s="7">
        <f>'Revenue FY26-40'!O13*(1-O24)</f>
        <v/>
      </c>
      <c r="P26" s="7">
        <f>'Revenue FY26-40'!P13*(1-P24)</f>
        <v/>
      </c>
      <c r="Q26" s="7">
        <f>'Revenue FY26-40'!Q13*(1-Q24)</f>
        <v/>
      </c>
    </row>
    <row r="27">
      <c r="A27" s="8" t="inlineStr">
        <is>
          <t>Existing: TOTAL TAX</t>
        </is>
      </c>
      <c r="C27" s="7">
        <f>C22+C25</f>
        <v/>
      </c>
      <c r="D27" s="7">
        <f>D22+D25</f>
        <v/>
      </c>
      <c r="E27" s="7">
        <f>E22+E25</f>
        <v/>
      </c>
      <c r="F27" s="7">
        <f>F22+F25</f>
        <v/>
      </c>
      <c r="G27" s="7">
        <f>G22+G25</f>
        <v/>
      </c>
      <c r="H27" s="7">
        <f>H22+H25</f>
        <v/>
      </c>
      <c r="I27" s="7">
        <f>I22+I25</f>
        <v/>
      </c>
      <c r="J27" s="7">
        <f>J22+J25</f>
        <v/>
      </c>
      <c r="K27" s="7">
        <f>K22+K25</f>
        <v/>
      </c>
      <c r="L27" s="7">
        <f>L22+L25</f>
        <v/>
      </c>
      <c r="M27" s="7">
        <f>M22+M25</f>
        <v/>
      </c>
      <c r="N27" s="7">
        <f>N22+N25</f>
        <v/>
      </c>
      <c r="O27" s="7">
        <f>O22+O25</f>
        <v/>
      </c>
      <c r="P27" s="7">
        <f>P22+P25</f>
        <v/>
      </c>
      <c r="Q27" s="7">
        <f>Q22+Q25</f>
        <v/>
      </c>
    </row>
    <row r="28">
      <c r="A28" s="8" t="inlineStr">
        <is>
          <t>New: TOTAL TAX</t>
        </is>
      </c>
      <c r="C28" s="7">
        <f>C23+C26</f>
        <v/>
      </c>
      <c r="D28" s="7">
        <f>D23+D26</f>
        <v/>
      </c>
      <c r="E28" s="7">
        <f>E23+E26</f>
        <v/>
      </c>
      <c r="F28" s="7">
        <f>F23+F26</f>
        <v/>
      </c>
      <c r="G28" s="7">
        <f>G23+G26</f>
        <v/>
      </c>
      <c r="H28" s="7">
        <f>H23+H26</f>
        <v/>
      </c>
      <c r="I28" s="7">
        <f>I23+I26</f>
        <v/>
      </c>
      <c r="J28" s="7">
        <f>J23+J26</f>
        <v/>
      </c>
      <c r="K28" s="7">
        <f>K23+K26</f>
        <v/>
      </c>
      <c r="L28" s="7">
        <f>L23+L26</f>
        <v/>
      </c>
      <c r="M28" s="7">
        <f>M23+M26</f>
        <v/>
      </c>
      <c r="N28" s="7">
        <f>N23+N26</f>
        <v/>
      </c>
      <c r="O28" s="7">
        <f>O23+O26</f>
        <v/>
      </c>
      <c r="P28" s="7">
        <f>P23+P26</f>
        <v/>
      </c>
      <c r="Q28" s="7">
        <f>Q23+Q26</f>
        <v/>
      </c>
    </row>
    <row r="29">
      <c r="A29" s="9" t="inlineStr">
        <is>
          <t xml:space="preserve">  Existing cohort YoY growth</t>
        </is>
      </c>
      <c r="D29" s="15">
        <f>D27/C27-1</f>
        <v/>
      </c>
      <c r="E29" s="15">
        <f>E27/D27-1</f>
        <v/>
      </c>
      <c r="F29" s="15">
        <f>F27/E27-1</f>
        <v/>
      </c>
      <c r="G29" s="15">
        <f>G27/F27-1</f>
        <v/>
      </c>
      <c r="H29" s="15">
        <f>H27/G27-1</f>
        <v/>
      </c>
      <c r="I29" s="15">
        <f>I27/H27-1</f>
        <v/>
      </c>
      <c r="J29" s="15">
        <f>J27/I27-1</f>
        <v/>
      </c>
      <c r="K29" s="15">
        <f>K27/J27-1</f>
        <v/>
      </c>
      <c r="L29" s="15">
        <f>L27/K27-1</f>
        <v/>
      </c>
      <c r="M29" s="15">
        <f>M27/L27-1</f>
        <v/>
      </c>
      <c r="N29" s="15">
        <f>N27/M27-1</f>
        <v/>
      </c>
      <c r="O29" s="15">
        <f>O27/N27-1</f>
        <v/>
      </c>
      <c r="P29" s="15">
        <f>P27/O27-1</f>
        <v/>
      </c>
      <c r="Q29" s="15">
        <f>Q27/P27-1</f>
        <v/>
      </c>
    </row>
    <row r="30">
      <c r="A30" s="9" t="inlineStr">
        <is>
          <t>Check vs. Python model (should be ~$0)</t>
        </is>
      </c>
      <c r="C30" s="7">
        <f>C27-251550293.0</f>
        <v/>
      </c>
      <c r="D30" s="7">
        <f>D27-261113183.0</f>
        <v/>
      </c>
      <c r="E30" s="7">
        <f>E27-266584395.0</f>
        <v/>
      </c>
      <c r="F30" s="7">
        <f>F27-272138956.0</f>
        <v/>
      </c>
      <c r="G30" s="7">
        <f>G27-277889936.0</f>
        <v/>
      </c>
      <c r="H30" s="7">
        <f>H27-283812346.0</f>
        <v/>
      </c>
      <c r="I30" s="7">
        <f>I27-289781670.0</f>
        <v/>
      </c>
      <c r="J30" s="7">
        <f>J27-295930575.0</f>
        <v/>
      </c>
      <c r="K30" s="7">
        <f>K27-302262323.0</f>
        <v/>
      </c>
      <c r="L30" s="7">
        <f>L27-308858718.0</f>
        <v/>
      </c>
      <c r="M30" s="7">
        <f>M27-315638165.0</f>
        <v/>
      </c>
      <c r="N30" s="7">
        <f>N27-322604897.0</f>
        <v/>
      </c>
      <c r="O30" s="7">
        <f>O27-329763261.0</f>
        <v/>
      </c>
      <c r="P30" s="7">
        <f>P27-337117716.0</f>
        <v/>
      </c>
      <c r="Q30" s="7">
        <f>Q27-344672842.0</f>
        <v/>
      </c>
    </row>
    <row r="31"/>
    <row r="32"/>
    <row r="33">
      <c r="A33" s="3" t="inlineStr">
        <is>
          <t>Scenario: peer_target_commercial_led</t>
        </is>
      </c>
    </row>
    <row r="34">
      <c r="A34" s="9" t="inlineStr">
        <is>
          <t>Prior-year operating levy (helper)</t>
        </is>
      </c>
      <c r="C34" s="7">
        <f>('Historical FY05-25'!W13-'Historical FY05-25'!W11)</f>
        <v/>
      </c>
      <c r="D34" s="7">
        <f>'New Growth Scenarios'!C59</f>
        <v/>
      </c>
      <c r="E34" s="7">
        <f>'New Growth Scenarios'!D59</f>
        <v/>
      </c>
      <c r="F34" s="7">
        <f>'New Growth Scenarios'!E59</f>
        <v/>
      </c>
      <c r="G34" s="7">
        <f>'New Growth Scenarios'!F59</f>
        <v/>
      </c>
      <c r="H34" s="7">
        <f>'New Growth Scenarios'!G59</f>
        <v/>
      </c>
      <c r="I34" s="7">
        <f>'New Growth Scenarios'!H59</f>
        <v/>
      </c>
      <c r="J34" s="7">
        <f>'New Growth Scenarios'!I59</f>
        <v/>
      </c>
      <c r="K34" s="7">
        <f>'New Growth Scenarios'!J59</f>
        <v/>
      </c>
      <c r="L34" s="7">
        <f>'New Growth Scenarios'!K59</f>
        <v/>
      </c>
      <c r="M34" s="7">
        <f>'New Growth Scenarios'!L59</f>
        <v/>
      </c>
      <c r="N34" s="7">
        <f>'New Growth Scenarios'!M59</f>
        <v/>
      </c>
      <c r="O34" s="7">
        <f>'New Growth Scenarios'!N59</f>
        <v/>
      </c>
      <c r="P34" s="7">
        <f>'New Growth Scenarios'!O59</f>
        <v/>
      </c>
      <c r="Q34" s="7">
        <f>'New Growth Scenarios'!P59</f>
        <v/>
      </c>
    </row>
    <row r="35">
      <c r="A35" s="9" t="inlineStr">
        <is>
          <t>New growth this year (= operating − prior×1.025)</t>
        </is>
      </c>
      <c r="C35" s="7">
        <f>'New Growth Scenarios'!C59-C34*1.025</f>
        <v/>
      </c>
      <c r="D35" s="7">
        <f>'New Growth Scenarios'!D59-D34*1.025</f>
        <v/>
      </c>
      <c r="E35" s="7">
        <f>'New Growth Scenarios'!E59-E34*1.025</f>
        <v/>
      </c>
      <c r="F35" s="7">
        <f>'New Growth Scenarios'!F59-F34*1.025</f>
        <v/>
      </c>
      <c r="G35" s="7">
        <f>'New Growth Scenarios'!G59-G34*1.025</f>
        <v/>
      </c>
      <c r="H35" s="7">
        <f>'New Growth Scenarios'!H59-H34*1.025</f>
        <v/>
      </c>
      <c r="I35" s="7">
        <f>'New Growth Scenarios'!I59-I34*1.025</f>
        <v/>
      </c>
      <c r="J35" s="7">
        <f>'New Growth Scenarios'!J59-J34*1.025</f>
        <v/>
      </c>
      <c r="K35" s="7">
        <f>'New Growth Scenarios'!K59-K34*1.025</f>
        <v/>
      </c>
      <c r="L35" s="7">
        <f>'New Growth Scenarios'!L59-L34*1.025</f>
        <v/>
      </c>
      <c r="M35" s="7">
        <f>'New Growth Scenarios'!M59-M34*1.025</f>
        <v/>
      </c>
      <c r="N35" s="7">
        <f>'New Growth Scenarios'!N59-N34*1.025</f>
        <v/>
      </c>
      <c r="O35" s="7">
        <f>'New Growth Scenarios'!O59-O34*1.025</f>
        <v/>
      </c>
      <c r="P35" s="7">
        <f>'New Growth Scenarios'!P59-P34*1.025</f>
        <v/>
      </c>
      <c r="Q35" s="7">
        <f>'New Growth Scenarios'!Q59-Q34*1.025</f>
        <v/>
      </c>
    </row>
    <row r="36">
      <c r="A36" s="8" t="inlineStr">
        <is>
          <t>Existing: allowed levy limit</t>
        </is>
      </c>
      <c r="C36" s="7">
        <f>((('Historical FY05-25'!W31/('Historical FY05-25'!W31+'Historical FY05-25'!W35))*('Historical FY05-25'!W13-'Historical FY05-25'!W11))*1.025)</f>
        <v/>
      </c>
      <c r="D36" s="7">
        <f>(C36*1.025)</f>
        <v/>
      </c>
      <c r="E36" s="7">
        <f>(D36*1.025)</f>
        <v/>
      </c>
      <c r="F36" s="7">
        <f>(E36*1.025)</f>
        <v/>
      </c>
      <c r="G36" s="7">
        <f>(F36*1.025)</f>
        <v/>
      </c>
      <c r="H36" s="7">
        <f>(G36*1.025)</f>
        <v/>
      </c>
      <c r="I36" s="7">
        <f>(H36*1.025)</f>
        <v/>
      </c>
      <c r="J36" s="7">
        <f>(I36*1.025)</f>
        <v/>
      </c>
      <c r="K36" s="7">
        <f>(J36*1.025)</f>
        <v/>
      </c>
      <c r="L36" s="7">
        <f>(K36*1.025)</f>
        <v/>
      </c>
      <c r="M36" s="7">
        <f>(L36*1.025)</f>
        <v/>
      </c>
      <c r="N36" s="7">
        <f>(M36*1.025)</f>
        <v/>
      </c>
      <c r="O36" s="7">
        <f>(N36*1.025)</f>
        <v/>
      </c>
      <c r="P36" s="7">
        <f>(O36*1.025)</f>
        <v/>
      </c>
      <c r="Q36" s="7">
        <f>(P36*1.025)</f>
        <v/>
      </c>
    </row>
    <row r="37">
      <c r="A37" s="8" t="inlineStr">
        <is>
          <t>New: allowed levy limit</t>
        </is>
      </c>
      <c r="C37" s="7">
        <f>(((1-('Historical FY05-25'!W31/('Historical FY05-25'!W31+'Historical FY05-25'!W35)))*('Historical FY05-25'!W13-'Historical FY05-25'!W11))*1.025+C35)</f>
        <v/>
      </c>
      <c r="D37" s="7">
        <f>(C37*1.025+D35)</f>
        <v/>
      </c>
      <c r="E37" s="7">
        <f>(D37*1.025+E35)</f>
        <v/>
      </c>
      <c r="F37" s="7">
        <f>(E37*1.025+F35)</f>
        <v/>
      </c>
      <c r="G37" s="7">
        <f>(F37*1.025+G35)</f>
        <v/>
      </c>
      <c r="H37" s="7">
        <f>(G37*1.025+H35)</f>
        <v/>
      </c>
      <c r="I37" s="7">
        <f>(H37*1.025+I35)</f>
        <v/>
      </c>
      <c r="J37" s="7">
        <f>(I37*1.025+J35)</f>
        <v/>
      </c>
      <c r="K37" s="7">
        <f>(J37*1.025+K35)</f>
        <v/>
      </c>
      <c r="L37" s="7">
        <f>(K37*1.025+L35)</f>
        <v/>
      </c>
      <c r="M37" s="7">
        <f>(L37*1.025+M35)</f>
        <v/>
      </c>
      <c r="N37" s="7">
        <f>(M37*1.025+N35)</f>
        <v/>
      </c>
      <c r="O37" s="7">
        <f>(N37*1.025+O35)</f>
        <v/>
      </c>
      <c r="P37" s="7">
        <f>(O37*1.025+P35)</f>
        <v/>
      </c>
      <c r="Q37" s="7">
        <f>(P37*1.025+Q35)</f>
        <v/>
      </c>
    </row>
    <row r="38">
      <c r="A38" s="9" t="inlineStr">
        <is>
          <t>Existing share (helper)</t>
        </is>
      </c>
      <c r="C38" s="15">
        <f>((('Historical FY05-25'!W31/('Historical FY05-25'!W31+'Historical FY05-25'!W35))*('Historical FY05-25'!W13-'Historical FY05-25'!W11))*1.025)/(((('Historical FY05-25'!W31/('Historical FY05-25'!W31+'Historical FY05-25'!W35))*('Historical FY05-25'!W13-'Historical FY05-25'!W11))*1.025)+(((1-('Historical FY05-25'!W31/('Historical FY05-25'!W31+'Historical FY05-25'!W35)))*('Historical FY05-25'!W13-'Historical FY05-25'!W11))*1.025+C35))</f>
        <v/>
      </c>
      <c r="D38" s="15">
        <f>(C36*1.025)/((C36*1.025)+(C37*1.025+D35))</f>
        <v/>
      </c>
      <c r="E38" s="15">
        <f>(D36*1.025)/((D36*1.025)+(D37*1.025+E35))</f>
        <v/>
      </c>
      <c r="F38" s="15">
        <f>(E36*1.025)/((E36*1.025)+(E37*1.025+F35))</f>
        <v/>
      </c>
      <c r="G38" s="15">
        <f>(F36*1.025)/((F36*1.025)+(F37*1.025+G35))</f>
        <v/>
      </c>
      <c r="H38" s="15">
        <f>(G36*1.025)/((G36*1.025)+(G37*1.025+H35))</f>
        <v/>
      </c>
      <c r="I38" s="15">
        <f>(H36*1.025)/((H36*1.025)+(H37*1.025+I35))</f>
        <v/>
      </c>
      <c r="J38" s="15">
        <f>(I36*1.025)/((I36*1.025)+(I37*1.025+J35))</f>
        <v/>
      </c>
      <c r="K38" s="15">
        <f>(J36*1.025)/((J36*1.025)+(J37*1.025+K35))</f>
        <v/>
      </c>
      <c r="L38" s="15">
        <f>(K36*1.025)/((K36*1.025)+(K37*1.025+L35))</f>
        <v/>
      </c>
      <c r="M38" s="15">
        <f>(L36*1.025)/((L36*1.025)+(L37*1.025+M35))</f>
        <v/>
      </c>
      <c r="N38" s="15">
        <f>(M36*1.025)/((M36*1.025)+(M37*1.025+N35))</f>
        <v/>
      </c>
      <c r="O38" s="15">
        <f>(N36*1.025)/((N36*1.025)+(N37*1.025+O35))</f>
        <v/>
      </c>
      <c r="P38" s="15">
        <f>(O36*1.025)/((O36*1.025)+(O37*1.025+P35))</f>
        <v/>
      </c>
      <c r="Q38" s="15">
        <f>(P36*1.025)/((P36*1.025)+(P37*1.025+Q35))</f>
        <v/>
      </c>
    </row>
    <row r="39">
      <c r="A39" s="9" t="inlineStr">
        <is>
          <t>Existing: debt-exclusion share</t>
        </is>
      </c>
      <c r="C39" s="7">
        <f>'Revenue FY26-40'!C13*C38</f>
        <v/>
      </c>
      <c r="D39" s="7">
        <f>'Revenue FY26-40'!D13*D38</f>
        <v/>
      </c>
      <c r="E39" s="7">
        <f>'Revenue FY26-40'!E13*E38</f>
        <v/>
      </c>
      <c r="F39" s="7">
        <f>'Revenue FY26-40'!F13*F38</f>
        <v/>
      </c>
      <c r="G39" s="7">
        <f>'Revenue FY26-40'!G13*G38</f>
        <v/>
      </c>
      <c r="H39" s="7">
        <f>'Revenue FY26-40'!H13*H38</f>
        <v/>
      </c>
      <c r="I39" s="7">
        <f>'Revenue FY26-40'!I13*I38</f>
        <v/>
      </c>
      <c r="J39" s="7">
        <f>'Revenue FY26-40'!J13*J38</f>
        <v/>
      </c>
      <c r="K39" s="7">
        <f>'Revenue FY26-40'!K13*K38</f>
        <v/>
      </c>
      <c r="L39" s="7">
        <f>'Revenue FY26-40'!L13*L38</f>
        <v/>
      </c>
      <c r="M39" s="7">
        <f>'Revenue FY26-40'!M13*M38</f>
        <v/>
      </c>
      <c r="N39" s="7">
        <f>'Revenue FY26-40'!N13*N38</f>
        <v/>
      </c>
      <c r="O39" s="7">
        <f>'Revenue FY26-40'!O13*O38</f>
        <v/>
      </c>
      <c r="P39" s="7">
        <f>'Revenue FY26-40'!P13*P38</f>
        <v/>
      </c>
      <c r="Q39" s="7">
        <f>'Revenue FY26-40'!Q13*Q38</f>
        <v/>
      </c>
    </row>
    <row r="40">
      <c r="A40" s="9" t="inlineStr">
        <is>
          <t>New: debt-exclusion share</t>
        </is>
      </c>
      <c r="C40" s="7">
        <f>'Revenue FY26-40'!C13*(1-C38)</f>
        <v/>
      </c>
      <c r="D40" s="7">
        <f>'Revenue FY26-40'!D13*(1-D38)</f>
        <v/>
      </c>
      <c r="E40" s="7">
        <f>'Revenue FY26-40'!E13*(1-E38)</f>
        <v/>
      </c>
      <c r="F40" s="7">
        <f>'Revenue FY26-40'!F13*(1-F38)</f>
        <v/>
      </c>
      <c r="G40" s="7">
        <f>'Revenue FY26-40'!G13*(1-G38)</f>
        <v/>
      </c>
      <c r="H40" s="7">
        <f>'Revenue FY26-40'!H13*(1-H38)</f>
        <v/>
      </c>
      <c r="I40" s="7">
        <f>'Revenue FY26-40'!I13*(1-I38)</f>
        <v/>
      </c>
      <c r="J40" s="7">
        <f>'Revenue FY26-40'!J13*(1-J38)</f>
        <v/>
      </c>
      <c r="K40" s="7">
        <f>'Revenue FY26-40'!K13*(1-K38)</f>
        <v/>
      </c>
      <c r="L40" s="7">
        <f>'Revenue FY26-40'!L13*(1-L38)</f>
        <v/>
      </c>
      <c r="M40" s="7">
        <f>'Revenue FY26-40'!M13*(1-M38)</f>
        <v/>
      </c>
      <c r="N40" s="7">
        <f>'Revenue FY26-40'!N13*(1-N38)</f>
        <v/>
      </c>
      <c r="O40" s="7">
        <f>'Revenue FY26-40'!O13*(1-O38)</f>
        <v/>
      </c>
      <c r="P40" s="7">
        <f>'Revenue FY26-40'!P13*(1-P38)</f>
        <v/>
      </c>
      <c r="Q40" s="7">
        <f>'Revenue FY26-40'!Q13*(1-Q38)</f>
        <v/>
      </c>
    </row>
    <row r="41">
      <c r="A41" s="8" t="inlineStr">
        <is>
          <t>Existing: TOTAL TAX</t>
        </is>
      </c>
      <c r="C41" s="7">
        <f>C36+C39</f>
        <v/>
      </c>
      <c r="D41" s="7">
        <f>D36+D39</f>
        <v/>
      </c>
      <c r="E41" s="7">
        <f>E36+E39</f>
        <v/>
      </c>
      <c r="F41" s="7">
        <f>F36+F39</f>
        <v/>
      </c>
      <c r="G41" s="7">
        <f>G36+G39</f>
        <v/>
      </c>
      <c r="H41" s="7">
        <f>H36+H39</f>
        <v/>
      </c>
      <c r="I41" s="7">
        <f>I36+I39</f>
        <v/>
      </c>
      <c r="J41" s="7">
        <f>J36+J39</f>
        <v/>
      </c>
      <c r="K41" s="7">
        <f>K36+K39</f>
        <v/>
      </c>
      <c r="L41" s="7">
        <f>L36+L39</f>
        <v/>
      </c>
      <c r="M41" s="7">
        <f>M36+M39</f>
        <v/>
      </c>
      <c r="N41" s="7">
        <f>N36+N39</f>
        <v/>
      </c>
      <c r="O41" s="7">
        <f>O36+O39</f>
        <v/>
      </c>
      <c r="P41" s="7">
        <f>P36+P39</f>
        <v/>
      </c>
      <c r="Q41" s="7">
        <f>Q36+Q39</f>
        <v/>
      </c>
    </row>
    <row r="42">
      <c r="A42" s="8" t="inlineStr">
        <is>
          <t>New: TOTAL TAX</t>
        </is>
      </c>
      <c r="C42" s="7">
        <f>C37+C40</f>
        <v/>
      </c>
      <c r="D42" s="7">
        <f>D37+D40</f>
        <v/>
      </c>
      <c r="E42" s="7">
        <f>E37+E40</f>
        <v/>
      </c>
      <c r="F42" s="7">
        <f>F37+F40</f>
        <v/>
      </c>
      <c r="G42" s="7">
        <f>G37+G40</f>
        <v/>
      </c>
      <c r="H42" s="7">
        <f>H37+H40</f>
        <v/>
      </c>
      <c r="I42" s="7">
        <f>I37+I40</f>
        <v/>
      </c>
      <c r="J42" s="7">
        <f>J37+J40</f>
        <v/>
      </c>
      <c r="K42" s="7">
        <f>K37+K40</f>
        <v/>
      </c>
      <c r="L42" s="7">
        <f>L37+L40</f>
        <v/>
      </c>
      <c r="M42" s="7">
        <f>M37+M40</f>
        <v/>
      </c>
      <c r="N42" s="7">
        <f>N37+N40</f>
        <v/>
      </c>
      <c r="O42" s="7">
        <f>O37+O40</f>
        <v/>
      </c>
      <c r="P42" s="7">
        <f>P37+P40</f>
        <v/>
      </c>
      <c r="Q42" s="7">
        <f>Q37+Q40</f>
        <v/>
      </c>
    </row>
    <row r="43">
      <c r="A43" s="9" t="inlineStr">
        <is>
          <t xml:space="preserve">  Existing cohort YoY growth</t>
        </is>
      </c>
      <c r="D43" s="15">
        <f>D41/C41-1</f>
        <v/>
      </c>
      <c r="E43" s="15">
        <f>E41/D41-1</f>
        <v/>
      </c>
      <c r="F43" s="15">
        <f>F41/E41-1</f>
        <v/>
      </c>
      <c r="G43" s="15">
        <f>G41/F41-1</f>
        <v/>
      </c>
      <c r="H43" s="15">
        <f>H41/G41-1</f>
        <v/>
      </c>
      <c r="I43" s="15">
        <f>I41/H41-1</f>
        <v/>
      </c>
      <c r="J43" s="15">
        <f>J41/I41-1</f>
        <v/>
      </c>
      <c r="K43" s="15">
        <f>K41/J41-1</f>
        <v/>
      </c>
      <c r="L43" s="15">
        <f>L41/K41-1</f>
        <v/>
      </c>
      <c r="M43" s="15">
        <f>M41/L41-1</f>
        <v/>
      </c>
      <c r="N43" s="15">
        <f>N41/M41-1</f>
        <v/>
      </c>
      <c r="O43" s="15">
        <f>O41/N41-1</f>
        <v/>
      </c>
      <c r="P43" s="15">
        <f>P41/O41-1</f>
        <v/>
      </c>
      <c r="Q43" s="15">
        <f>Q41/P41-1</f>
        <v/>
      </c>
    </row>
    <row r="44">
      <c r="A44" s="9" t="inlineStr">
        <is>
          <t>Check vs. Python model (should be ~$0)</t>
        </is>
      </c>
      <c r="C44" s="7">
        <f>C41-251550293.0</f>
        <v/>
      </c>
      <c r="D44" s="7">
        <f>D41-261113183.0</f>
        <v/>
      </c>
      <c r="E44" s="7">
        <f>E41-266584395.0</f>
        <v/>
      </c>
      <c r="F44" s="7">
        <f>F41-272138956.0</f>
        <v/>
      </c>
      <c r="G44" s="7">
        <f>G41-277889936.0</f>
        <v/>
      </c>
      <c r="H44" s="7">
        <f>H41-283812346.0</f>
        <v/>
      </c>
      <c r="I44" s="7">
        <f>I41-289781670.0</f>
        <v/>
      </c>
      <c r="J44" s="7">
        <f>J41-295930575.0</f>
        <v/>
      </c>
      <c r="K44" s="7">
        <f>K41-302262323.0</f>
        <v/>
      </c>
      <c r="L44" s="7">
        <f>L41-308858718.0</f>
        <v/>
      </c>
      <c r="M44" s="7">
        <f>M41-315638165.0</f>
        <v/>
      </c>
      <c r="N44" s="7">
        <f>N41-322604897.0</f>
        <v/>
      </c>
      <c r="O44" s="7">
        <f>O41-329763261.0</f>
        <v/>
      </c>
      <c r="P44" s="7">
        <f>P41-337117716.0</f>
        <v/>
      </c>
      <c r="Q44" s="7">
        <f>Q41-344672842.0</f>
        <v/>
      </c>
    </row>
    <row r="45"/>
    <row r="46"/>
    <row r="47">
      <c r="A47" s="3" t="inlineStr">
        <is>
          <t>Scenario: peer_target_balanced_mix</t>
        </is>
      </c>
    </row>
    <row r="48">
      <c r="A48" s="9" t="inlineStr">
        <is>
          <t>Prior-year operating levy (helper)</t>
        </is>
      </c>
      <c r="C48" s="7">
        <f>('Historical FY05-25'!W13-'Historical FY05-25'!W11)</f>
        <v/>
      </c>
      <c r="D48" s="7">
        <f>'New Growth Scenarios'!C80</f>
        <v/>
      </c>
      <c r="E48" s="7">
        <f>'New Growth Scenarios'!D80</f>
        <v/>
      </c>
      <c r="F48" s="7">
        <f>'New Growth Scenarios'!E80</f>
        <v/>
      </c>
      <c r="G48" s="7">
        <f>'New Growth Scenarios'!F80</f>
        <v/>
      </c>
      <c r="H48" s="7">
        <f>'New Growth Scenarios'!G80</f>
        <v/>
      </c>
      <c r="I48" s="7">
        <f>'New Growth Scenarios'!H80</f>
        <v/>
      </c>
      <c r="J48" s="7">
        <f>'New Growth Scenarios'!I80</f>
        <v/>
      </c>
      <c r="K48" s="7">
        <f>'New Growth Scenarios'!J80</f>
        <v/>
      </c>
      <c r="L48" s="7">
        <f>'New Growth Scenarios'!K80</f>
        <v/>
      </c>
      <c r="M48" s="7">
        <f>'New Growth Scenarios'!L80</f>
        <v/>
      </c>
      <c r="N48" s="7">
        <f>'New Growth Scenarios'!M80</f>
        <v/>
      </c>
      <c r="O48" s="7">
        <f>'New Growth Scenarios'!N80</f>
        <v/>
      </c>
      <c r="P48" s="7">
        <f>'New Growth Scenarios'!O80</f>
        <v/>
      </c>
      <c r="Q48" s="7">
        <f>'New Growth Scenarios'!P80</f>
        <v/>
      </c>
    </row>
    <row r="49">
      <c r="A49" s="9" t="inlineStr">
        <is>
          <t>New growth this year (= operating − prior×1.025)</t>
        </is>
      </c>
      <c r="C49" s="7">
        <f>'New Growth Scenarios'!C80-C48*1.025</f>
        <v/>
      </c>
      <c r="D49" s="7">
        <f>'New Growth Scenarios'!D80-D48*1.025</f>
        <v/>
      </c>
      <c r="E49" s="7">
        <f>'New Growth Scenarios'!E80-E48*1.025</f>
        <v/>
      </c>
      <c r="F49" s="7">
        <f>'New Growth Scenarios'!F80-F48*1.025</f>
        <v/>
      </c>
      <c r="G49" s="7">
        <f>'New Growth Scenarios'!G80-G48*1.025</f>
        <v/>
      </c>
      <c r="H49" s="7">
        <f>'New Growth Scenarios'!H80-H48*1.025</f>
        <v/>
      </c>
      <c r="I49" s="7">
        <f>'New Growth Scenarios'!I80-I48*1.025</f>
        <v/>
      </c>
      <c r="J49" s="7">
        <f>'New Growth Scenarios'!J80-J48*1.025</f>
        <v/>
      </c>
      <c r="K49" s="7">
        <f>'New Growth Scenarios'!K80-K48*1.025</f>
        <v/>
      </c>
      <c r="L49" s="7">
        <f>'New Growth Scenarios'!L80-L48*1.025</f>
        <v/>
      </c>
      <c r="M49" s="7">
        <f>'New Growth Scenarios'!M80-M48*1.025</f>
        <v/>
      </c>
      <c r="N49" s="7">
        <f>'New Growth Scenarios'!N80-N48*1.025</f>
        <v/>
      </c>
      <c r="O49" s="7">
        <f>'New Growth Scenarios'!O80-O48*1.025</f>
        <v/>
      </c>
      <c r="P49" s="7">
        <f>'New Growth Scenarios'!P80-P48*1.025</f>
        <v/>
      </c>
      <c r="Q49" s="7">
        <f>'New Growth Scenarios'!Q80-Q48*1.025</f>
        <v/>
      </c>
    </row>
    <row r="50">
      <c r="A50" s="8" t="inlineStr">
        <is>
          <t>Existing: allowed levy limit</t>
        </is>
      </c>
      <c r="C50" s="7">
        <f>((('Historical FY05-25'!W31/('Historical FY05-25'!W31+'Historical FY05-25'!W35))*('Historical FY05-25'!W13-'Historical FY05-25'!W11))*1.025)</f>
        <v/>
      </c>
      <c r="D50" s="7">
        <f>(C50*1.025)</f>
        <v/>
      </c>
      <c r="E50" s="7">
        <f>(D50*1.025)</f>
        <v/>
      </c>
      <c r="F50" s="7">
        <f>(E50*1.025)</f>
        <v/>
      </c>
      <c r="G50" s="7">
        <f>(F50*1.025)</f>
        <v/>
      </c>
      <c r="H50" s="7">
        <f>(G50*1.025)</f>
        <v/>
      </c>
      <c r="I50" s="7">
        <f>(H50*1.025)</f>
        <v/>
      </c>
      <c r="J50" s="7">
        <f>(I50*1.025)</f>
        <v/>
      </c>
      <c r="K50" s="7">
        <f>(J50*1.025)</f>
        <v/>
      </c>
      <c r="L50" s="7">
        <f>(K50*1.025)</f>
        <v/>
      </c>
      <c r="M50" s="7">
        <f>(L50*1.025)</f>
        <v/>
      </c>
      <c r="N50" s="7">
        <f>(M50*1.025)</f>
        <v/>
      </c>
      <c r="O50" s="7">
        <f>(N50*1.025)</f>
        <v/>
      </c>
      <c r="P50" s="7">
        <f>(O50*1.025)</f>
        <v/>
      </c>
      <c r="Q50" s="7">
        <f>(P50*1.025)</f>
        <v/>
      </c>
    </row>
    <row r="51">
      <c r="A51" s="8" t="inlineStr">
        <is>
          <t>New: allowed levy limit</t>
        </is>
      </c>
      <c r="C51" s="7">
        <f>(((1-('Historical FY05-25'!W31/('Historical FY05-25'!W31+'Historical FY05-25'!W35)))*('Historical FY05-25'!W13-'Historical FY05-25'!W11))*1.025+C49)</f>
        <v/>
      </c>
      <c r="D51" s="7">
        <f>(C51*1.025+D49)</f>
        <v/>
      </c>
      <c r="E51" s="7">
        <f>(D51*1.025+E49)</f>
        <v/>
      </c>
      <c r="F51" s="7">
        <f>(E51*1.025+F49)</f>
        <v/>
      </c>
      <c r="G51" s="7">
        <f>(F51*1.025+G49)</f>
        <v/>
      </c>
      <c r="H51" s="7">
        <f>(G51*1.025+H49)</f>
        <v/>
      </c>
      <c r="I51" s="7">
        <f>(H51*1.025+I49)</f>
        <v/>
      </c>
      <c r="J51" s="7">
        <f>(I51*1.025+J49)</f>
        <v/>
      </c>
      <c r="K51" s="7">
        <f>(J51*1.025+K49)</f>
        <v/>
      </c>
      <c r="L51" s="7">
        <f>(K51*1.025+L49)</f>
        <v/>
      </c>
      <c r="M51" s="7">
        <f>(L51*1.025+M49)</f>
        <v/>
      </c>
      <c r="N51" s="7">
        <f>(M51*1.025+N49)</f>
        <v/>
      </c>
      <c r="O51" s="7">
        <f>(N51*1.025+O49)</f>
        <v/>
      </c>
      <c r="P51" s="7">
        <f>(O51*1.025+P49)</f>
        <v/>
      </c>
      <c r="Q51" s="7">
        <f>(P51*1.025+Q49)</f>
        <v/>
      </c>
    </row>
    <row r="52">
      <c r="A52" s="9" t="inlineStr">
        <is>
          <t>Existing share (helper)</t>
        </is>
      </c>
      <c r="C52" s="15">
        <f>((('Historical FY05-25'!W31/('Historical FY05-25'!W31+'Historical FY05-25'!W35))*('Historical FY05-25'!W13-'Historical FY05-25'!W11))*1.025)/(((('Historical FY05-25'!W31/('Historical FY05-25'!W31+'Historical FY05-25'!W35))*('Historical FY05-25'!W13-'Historical FY05-25'!W11))*1.025)+(((1-('Historical FY05-25'!W31/('Historical FY05-25'!W31+'Historical FY05-25'!W35)))*('Historical FY05-25'!W13-'Historical FY05-25'!W11))*1.025+C49))</f>
        <v/>
      </c>
      <c r="D52" s="15">
        <f>(C50*1.025)/((C50*1.025)+(C51*1.025+D49))</f>
        <v/>
      </c>
      <c r="E52" s="15">
        <f>(D50*1.025)/((D50*1.025)+(D51*1.025+E49))</f>
        <v/>
      </c>
      <c r="F52" s="15">
        <f>(E50*1.025)/((E50*1.025)+(E51*1.025+F49))</f>
        <v/>
      </c>
      <c r="G52" s="15">
        <f>(F50*1.025)/((F50*1.025)+(F51*1.025+G49))</f>
        <v/>
      </c>
      <c r="H52" s="15">
        <f>(G50*1.025)/((G50*1.025)+(G51*1.025+H49))</f>
        <v/>
      </c>
      <c r="I52" s="15">
        <f>(H50*1.025)/((H50*1.025)+(H51*1.025+I49))</f>
        <v/>
      </c>
      <c r="J52" s="15">
        <f>(I50*1.025)/((I50*1.025)+(I51*1.025+J49))</f>
        <v/>
      </c>
      <c r="K52" s="15">
        <f>(J50*1.025)/((J50*1.025)+(J51*1.025+K49))</f>
        <v/>
      </c>
      <c r="L52" s="15">
        <f>(K50*1.025)/((K50*1.025)+(K51*1.025+L49))</f>
        <v/>
      </c>
      <c r="M52" s="15">
        <f>(L50*1.025)/((L50*1.025)+(L51*1.025+M49))</f>
        <v/>
      </c>
      <c r="N52" s="15">
        <f>(M50*1.025)/((M50*1.025)+(M51*1.025+N49))</f>
        <v/>
      </c>
      <c r="O52" s="15">
        <f>(N50*1.025)/((N50*1.025)+(N51*1.025+O49))</f>
        <v/>
      </c>
      <c r="P52" s="15">
        <f>(O50*1.025)/((O50*1.025)+(O51*1.025+P49))</f>
        <v/>
      </c>
      <c r="Q52" s="15">
        <f>(P50*1.025)/((P50*1.025)+(P51*1.025+Q49))</f>
        <v/>
      </c>
    </row>
    <row r="53">
      <c r="A53" s="9" t="inlineStr">
        <is>
          <t>Existing: debt-exclusion share</t>
        </is>
      </c>
      <c r="C53" s="7">
        <f>'Revenue FY26-40'!C13*C52</f>
        <v/>
      </c>
      <c r="D53" s="7">
        <f>'Revenue FY26-40'!D13*D52</f>
        <v/>
      </c>
      <c r="E53" s="7">
        <f>'Revenue FY26-40'!E13*E52</f>
        <v/>
      </c>
      <c r="F53" s="7">
        <f>'Revenue FY26-40'!F13*F52</f>
        <v/>
      </c>
      <c r="G53" s="7">
        <f>'Revenue FY26-40'!G13*G52</f>
        <v/>
      </c>
      <c r="H53" s="7">
        <f>'Revenue FY26-40'!H13*H52</f>
        <v/>
      </c>
      <c r="I53" s="7">
        <f>'Revenue FY26-40'!I13*I52</f>
        <v/>
      </c>
      <c r="J53" s="7">
        <f>'Revenue FY26-40'!J13*J52</f>
        <v/>
      </c>
      <c r="K53" s="7">
        <f>'Revenue FY26-40'!K13*K52</f>
        <v/>
      </c>
      <c r="L53" s="7">
        <f>'Revenue FY26-40'!L13*L52</f>
        <v/>
      </c>
      <c r="M53" s="7">
        <f>'Revenue FY26-40'!M13*M52</f>
        <v/>
      </c>
      <c r="N53" s="7">
        <f>'Revenue FY26-40'!N13*N52</f>
        <v/>
      </c>
      <c r="O53" s="7">
        <f>'Revenue FY26-40'!O13*O52</f>
        <v/>
      </c>
      <c r="P53" s="7">
        <f>'Revenue FY26-40'!P13*P52</f>
        <v/>
      </c>
      <c r="Q53" s="7">
        <f>'Revenue FY26-40'!Q13*Q52</f>
        <v/>
      </c>
    </row>
    <row r="54">
      <c r="A54" s="9" t="inlineStr">
        <is>
          <t>New: debt-exclusion share</t>
        </is>
      </c>
      <c r="C54" s="7">
        <f>'Revenue FY26-40'!C13*(1-C52)</f>
        <v/>
      </c>
      <c r="D54" s="7">
        <f>'Revenue FY26-40'!D13*(1-D52)</f>
        <v/>
      </c>
      <c r="E54" s="7">
        <f>'Revenue FY26-40'!E13*(1-E52)</f>
        <v/>
      </c>
      <c r="F54" s="7">
        <f>'Revenue FY26-40'!F13*(1-F52)</f>
        <v/>
      </c>
      <c r="G54" s="7">
        <f>'Revenue FY26-40'!G13*(1-G52)</f>
        <v/>
      </c>
      <c r="H54" s="7">
        <f>'Revenue FY26-40'!H13*(1-H52)</f>
        <v/>
      </c>
      <c r="I54" s="7">
        <f>'Revenue FY26-40'!I13*(1-I52)</f>
        <v/>
      </c>
      <c r="J54" s="7">
        <f>'Revenue FY26-40'!J13*(1-J52)</f>
        <v/>
      </c>
      <c r="K54" s="7">
        <f>'Revenue FY26-40'!K13*(1-K52)</f>
        <v/>
      </c>
      <c r="L54" s="7">
        <f>'Revenue FY26-40'!L13*(1-L52)</f>
        <v/>
      </c>
      <c r="M54" s="7">
        <f>'Revenue FY26-40'!M13*(1-M52)</f>
        <v/>
      </c>
      <c r="N54" s="7">
        <f>'Revenue FY26-40'!N13*(1-N52)</f>
        <v/>
      </c>
      <c r="O54" s="7">
        <f>'Revenue FY26-40'!O13*(1-O52)</f>
        <v/>
      </c>
      <c r="P54" s="7">
        <f>'Revenue FY26-40'!P13*(1-P52)</f>
        <v/>
      </c>
      <c r="Q54" s="7">
        <f>'Revenue FY26-40'!Q13*(1-Q52)</f>
        <v/>
      </c>
    </row>
    <row r="55">
      <c r="A55" s="8" t="inlineStr">
        <is>
          <t>Existing: TOTAL TAX</t>
        </is>
      </c>
      <c r="C55" s="7">
        <f>C50+C53</f>
        <v/>
      </c>
      <c r="D55" s="7">
        <f>D50+D53</f>
        <v/>
      </c>
      <c r="E55" s="7">
        <f>E50+E53</f>
        <v/>
      </c>
      <c r="F55" s="7">
        <f>F50+F53</f>
        <v/>
      </c>
      <c r="G55" s="7">
        <f>G50+G53</f>
        <v/>
      </c>
      <c r="H55" s="7">
        <f>H50+H53</f>
        <v/>
      </c>
      <c r="I55" s="7">
        <f>I50+I53</f>
        <v/>
      </c>
      <c r="J55" s="7">
        <f>J50+J53</f>
        <v/>
      </c>
      <c r="K55" s="7">
        <f>K50+K53</f>
        <v/>
      </c>
      <c r="L55" s="7">
        <f>L50+L53</f>
        <v/>
      </c>
      <c r="M55" s="7">
        <f>M50+M53</f>
        <v/>
      </c>
      <c r="N55" s="7">
        <f>N50+N53</f>
        <v/>
      </c>
      <c r="O55" s="7">
        <f>O50+O53</f>
        <v/>
      </c>
      <c r="P55" s="7">
        <f>P50+P53</f>
        <v/>
      </c>
      <c r="Q55" s="7">
        <f>Q50+Q53</f>
        <v/>
      </c>
    </row>
    <row r="56">
      <c r="A56" s="8" t="inlineStr">
        <is>
          <t>New: TOTAL TAX</t>
        </is>
      </c>
      <c r="C56" s="7">
        <f>C51+C54</f>
        <v/>
      </c>
      <c r="D56" s="7">
        <f>D51+D54</f>
        <v/>
      </c>
      <c r="E56" s="7">
        <f>E51+E54</f>
        <v/>
      </c>
      <c r="F56" s="7">
        <f>F51+F54</f>
        <v/>
      </c>
      <c r="G56" s="7">
        <f>G51+G54</f>
        <v/>
      </c>
      <c r="H56" s="7">
        <f>H51+H54</f>
        <v/>
      </c>
      <c r="I56" s="7">
        <f>I51+I54</f>
        <v/>
      </c>
      <c r="J56" s="7">
        <f>J51+J54</f>
        <v/>
      </c>
      <c r="K56" s="7">
        <f>K51+K54</f>
        <v/>
      </c>
      <c r="L56" s="7">
        <f>L51+L54</f>
        <v/>
      </c>
      <c r="M56" s="7">
        <f>M51+M54</f>
        <v/>
      </c>
      <c r="N56" s="7">
        <f>N51+N54</f>
        <v/>
      </c>
      <c r="O56" s="7">
        <f>O51+O54</f>
        <v/>
      </c>
      <c r="P56" s="7">
        <f>P51+P54</f>
        <v/>
      </c>
      <c r="Q56" s="7">
        <f>Q51+Q54</f>
        <v/>
      </c>
    </row>
    <row r="57">
      <c r="A57" s="9" t="inlineStr">
        <is>
          <t xml:space="preserve">  Existing cohort YoY growth</t>
        </is>
      </c>
      <c r="D57" s="15">
        <f>D55/C55-1</f>
        <v/>
      </c>
      <c r="E57" s="15">
        <f>E55/D55-1</f>
        <v/>
      </c>
      <c r="F57" s="15">
        <f>F55/E55-1</f>
        <v/>
      </c>
      <c r="G57" s="15">
        <f>G55/F55-1</f>
        <v/>
      </c>
      <c r="H57" s="15">
        <f>H55/G55-1</f>
        <v/>
      </c>
      <c r="I57" s="15">
        <f>I55/H55-1</f>
        <v/>
      </c>
      <c r="J57" s="15">
        <f>J55/I55-1</f>
        <v/>
      </c>
      <c r="K57" s="15">
        <f>K55/J55-1</f>
        <v/>
      </c>
      <c r="L57" s="15">
        <f>L55/K55-1</f>
        <v/>
      </c>
      <c r="M57" s="15">
        <f>M55/L55-1</f>
        <v/>
      </c>
      <c r="N57" s="15">
        <f>N55/M55-1</f>
        <v/>
      </c>
      <c r="O57" s="15">
        <f>O55/N55-1</f>
        <v/>
      </c>
      <c r="P57" s="15">
        <f>P55/O55-1</f>
        <v/>
      </c>
      <c r="Q57" s="15">
        <f>Q55/P55-1</f>
        <v/>
      </c>
    </row>
    <row r="58">
      <c r="A58" s="9" t="inlineStr">
        <is>
          <t>Check vs. Python model (should be ~$0)</t>
        </is>
      </c>
      <c r="C58" s="7">
        <f>C55-251550293.0</f>
        <v/>
      </c>
      <c r="D58" s="7">
        <f>D55-261113183.0</f>
        <v/>
      </c>
      <c r="E58" s="7">
        <f>E55-266584395.0</f>
        <v/>
      </c>
      <c r="F58" s="7">
        <f>F55-272138956.0</f>
        <v/>
      </c>
      <c r="G58" s="7">
        <f>G55-277889936.0</f>
        <v/>
      </c>
      <c r="H58" s="7">
        <f>H55-283812346.0</f>
        <v/>
      </c>
      <c r="I58" s="7">
        <f>I55-289781670.0</f>
        <v/>
      </c>
      <c r="J58" s="7">
        <f>J55-295930575.0</f>
        <v/>
      </c>
      <c r="K58" s="7">
        <f>K55-302262323.0</f>
        <v/>
      </c>
      <c r="L58" s="7">
        <f>L55-308858718.0</f>
        <v/>
      </c>
      <c r="M58" s="7">
        <f>M55-315638165.0</f>
        <v/>
      </c>
      <c r="N58" s="7">
        <f>N55-322604897.0</f>
        <v/>
      </c>
      <c r="O58" s="7">
        <f>O55-329763261.0</f>
        <v/>
      </c>
      <c r="P58" s="7">
        <f>P55-337117716.0</f>
        <v/>
      </c>
      <c r="Q58" s="7">
        <f>Q55-344672842.0</f>
        <v/>
      </c>
    </row>
  </sheetData>
  <mergeCells count="2">
    <mergeCell ref="A3:Q3"/>
    <mergeCell ref="A1:W1"/>
  </mergeCells>
  <conditionalFormatting sqref="C16:W16">
    <cfRule type="cellIs" priority="1" operator="greaterThan" dxfId="0">
      <formula>6</formula>
    </cfRule>
    <cfRule type="cellIs" priority="2" operator="lessThan" dxfId="0">
      <formula>-6</formula>
    </cfRule>
  </conditionalFormatting>
  <conditionalFormatting sqref="C30:W30">
    <cfRule type="cellIs" priority="3" operator="greaterThan" dxfId="0">
      <formula>6</formula>
    </cfRule>
    <cfRule type="cellIs" priority="4" operator="lessThan" dxfId="0">
      <formula>-6</formula>
    </cfRule>
  </conditionalFormatting>
  <conditionalFormatting sqref="C44:W44">
    <cfRule type="cellIs" priority="5" operator="greaterThan" dxfId="0">
      <formula>6</formula>
    </cfRule>
    <cfRule type="cellIs" priority="6" operator="lessThan" dxfId="0">
      <formula>-6</formula>
    </cfRule>
  </conditionalFormatting>
  <conditionalFormatting sqref="C58:W58">
    <cfRule type="cellIs" priority="7" operator="greaterThan" dxfId="0">
      <formula>6</formula>
    </cfRule>
    <cfRule type="cellIs" priority="8" operator="lessThan" dxfId="0">
      <formula>-6</formula>
    </cfRule>
  </conditionalFormatting>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H19"/>
  <sheetViews>
    <sheetView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50" customWidth="1" min="1" max="1"/>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s>
  <sheetData>
    <row r="1" ht="26" customHeight="1">
      <c r="A1" s="1" t="inlineStr">
        <is>
          <t>Schools Budget by Category, FY2009-2040</t>
        </is>
      </c>
    </row>
    <row r="2"/>
    <row r="3" ht="84" customHeight="1">
      <c r="A3" s="2" t="inlineStr">
        <is>
          <t>Entirely cited/reference data - a bespoke, multi-source sub-model (DESE per-pupil data x actual enrollment for history; schools_category_forecast.py's own 9-category compounding for the forecast), not re-derived as live formulas here, per this workbook's hybrid design (see Guide tab). FY2009-2025 (grey): DESE per-pupil $ x actual DESE enrollment that year = total $ - NOT the same total as the Historical tab's Schedule A `exp_education` (DESE's Net School Spending accounting includes school employees' benefits; Schedule A keeps ALL Town benefits in one separate Town-wide bucket - see schools_category_forecast's own methodology doc for the full reconciliation). FY2026-2040 (green, KEY): schools_category_forecast.py's own output - each category grown at its own 16-year trailing CAGR from a FY2025 anchor that IS rescaled to match Schedule A (so this forecast total ties out to the Expense tab's trend_corrected Schools row exactly).</t>
        </is>
      </c>
    </row>
    <row r="4"/>
    <row r="5">
      <c r="A5" s="4" t="inlineStr">
        <is>
          <t>Line item</t>
        </is>
      </c>
      <c r="C5" s="5" t="inlineStr">
        <is>
          <t>FY2009</t>
        </is>
      </c>
      <c r="D5" s="5" t="inlineStr">
        <is>
          <t>FY2010</t>
        </is>
      </c>
      <c r="E5" s="5" t="inlineStr">
        <is>
          <t>FY2011</t>
        </is>
      </c>
      <c r="F5" s="5" t="inlineStr">
        <is>
          <t>FY2012</t>
        </is>
      </c>
      <c r="G5" s="5" t="inlineStr">
        <is>
          <t>FY2013</t>
        </is>
      </c>
      <c r="H5" s="5" t="inlineStr">
        <is>
          <t>FY2014</t>
        </is>
      </c>
      <c r="I5" s="5" t="inlineStr">
        <is>
          <t>FY2015</t>
        </is>
      </c>
      <c r="J5" s="5" t="inlineStr">
        <is>
          <t>FY2016</t>
        </is>
      </c>
      <c r="K5" s="5" t="inlineStr">
        <is>
          <t>FY2017</t>
        </is>
      </c>
      <c r="L5" s="5" t="inlineStr">
        <is>
          <t>FY2018</t>
        </is>
      </c>
      <c r="M5" s="5" t="inlineStr">
        <is>
          <t>FY2019</t>
        </is>
      </c>
      <c r="N5" s="5" t="inlineStr">
        <is>
          <t>FY2020</t>
        </is>
      </c>
      <c r="O5" s="5" t="inlineStr">
        <is>
          <t>FY2021</t>
        </is>
      </c>
      <c r="P5" s="5" t="inlineStr">
        <is>
          <t>FY2022</t>
        </is>
      </c>
      <c r="Q5" s="5" t="inlineStr">
        <is>
          <t>FY2023</t>
        </is>
      </c>
      <c r="R5" s="5" t="inlineStr">
        <is>
          <t>FY2024</t>
        </is>
      </c>
      <c r="S5" s="5" t="inlineStr">
        <is>
          <t>FY2025</t>
        </is>
      </c>
      <c r="T5" s="5" t="inlineStr">
        <is>
          <t>FY2026</t>
        </is>
      </c>
      <c r="U5" s="5" t="inlineStr">
        <is>
          <t>FY2027</t>
        </is>
      </c>
      <c r="V5" s="5" t="inlineStr">
        <is>
          <t>FY2028</t>
        </is>
      </c>
      <c r="W5" s="5" t="inlineStr">
        <is>
          <t>FY2029</t>
        </is>
      </c>
      <c r="X5" s="5" t="inlineStr">
        <is>
          <t>FY2030</t>
        </is>
      </c>
      <c r="Y5" s="5" t="inlineStr">
        <is>
          <t>FY2031</t>
        </is>
      </c>
      <c r="Z5" s="5" t="inlineStr">
        <is>
          <t>FY2032</t>
        </is>
      </c>
      <c r="AA5" s="5" t="inlineStr">
        <is>
          <t>FY2033</t>
        </is>
      </c>
      <c r="AB5" s="5" t="inlineStr">
        <is>
          <t>FY2034</t>
        </is>
      </c>
      <c r="AC5" s="5" t="inlineStr">
        <is>
          <t>FY2035</t>
        </is>
      </c>
      <c r="AD5" s="5" t="inlineStr">
        <is>
          <t>FY2036</t>
        </is>
      </c>
      <c r="AE5" s="5" t="inlineStr">
        <is>
          <t>FY2037</t>
        </is>
      </c>
      <c r="AF5" s="5" t="inlineStr">
        <is>
          <t>FY2038</t>
        </is>
      </c>
      <c r="AG5" s="5" t="inlineStr">
        <is>
          <t>FY2039</t>
        </is>
      </c>
      <c r="AH5" s="5" t="inlineStr">
        <is>
          <t>FY2040</t>
        </is>
      </c>
    </row>
    <row r="6">
      <c r="A6" s="6" t="inlineStr">
        <is>
          <t>Administration</t>
        </is>
      </c>
      <c r="C6" s="7" t="n">
        <v>4860849</v>
      </c>
      <c r="D6" s="7" t="n">
        <v>4692200</v>
      </c>
      <c r="E6" s="7" t="n">
        <v>4970250</v>
      </c>
      <c r="F6" s="7" t="n">
        <v>5273125</v>
      </c>
      <c r="G6" s="7" t="n">
        <v>5504688</v>
      </c>
      <c r="H6" s="7" t="n">
        <v>5371256</v>
      </c>
      <c r="I6" s="7" t="n">
        <v>6404324</v>
      </c>
      <c r="J6" s="7" t="n">
        <v>6517800</v>
      </c>
      <c r="K6" s="7" t="n">
        <v>6748515</v>
      </c>
      <c r="L6" s="7" t="n">
        <v>4969237</v>
      </c>
      <c r="M6" s="7" t="n">
        <v>5082185</v>
      </c>
      <c r="N6" s="7" t="n">
        <v>5708318</v>
      </c>
      <c r="O6" s="7" t="n">
        <v>5836677</v>
      </c>
      <c r="P6" s="7" t="n">
        <v>5764096</v>
      </c>
      <c r="Q6" s="7" t="n">
        <v>9982840</v>
      </c>
      <c r="R6" s="7" t="n">
        <v>7947031</v>
      </c>
      <c r="S6" s="7" t="n">
        <v>7809576</v>
      </c>
      <c r="T6" s="7" t="n">
        <v>7551458</v>
      </c>
      <c r="U6" s="7" t="n">
        <v>7727552</v>
      </c>
      <c r="V6" s="7" t="n">
        <v>7907753</v>
      </c>
      <c r="W6" s="7" t="n">
        <v>8092156</v>
      </c>
      <c r="X6" s="7" t="n">
        <v>8280860</v>
      </c>
      <c r="Y6" s="7" t="n">
        <v>8473963</v>
      </c>
      <c r="Z6" s="7" t="n">
        <v>8671570</v>
      </c>
      <c r="AA6" s="7" t="n">
        <v>8873784</v>
      </c>
      <c r="AB6" s="7" t="n">
        <v>9080715</v>
      </c>
      <c r="AC6" s="7" t="n">
        <v>9292470</v>
      </c>
      <c r="AD6" s="7" t="n">
        <v>9509164</v>
      </c>
      <c r="AE6" s="7" t="n">
        <v>9730911</v>
      </c>
      <c r="AF6" s="7" t="n">
        <v>9957828</v>
      </c>
      <c r="AG6" s="7" t="n">
        <v>10190038</v>
      </c>
      <c r="AH6" s="7" t="n">
        <v>10427662</v>
      </c>
    </row>
    <row r="7">
      <c r="A7" s="6" t="inlineStr">
        <is>
          <t>Guidance, Counseling and Testing</t>
        </is>
      </c>
      <c r="C7" s="7" t="n">
        <v>3413340</v>
      </c>
      <c r="D7" s="7" t="n">
        <v>3630792</v>
      </c>
      <c r="E7" s="7" t="n">
        <v>3611715</v>
      </c>
      <c r="F7" s="7" t="n">
        <v>3492500</v>
      </c>
      <c r="G7" s="7" t="n">
        <v>3876040</v>
      </c>
      <c r="H7" s="7" t="n">
        <v>4146872</v>
      </c>
      <c r="I7" s="7" t="n">
        <v>3911668</v>
      </c>
      <c r="J7" s="7" t="n">
        <v>5037876</v>
      </c>
      <c r="K7" s="7" t="n">
        <v>5140260</v>
      </c>
      <c r="L7" s="7" t="n">
        <v>4813217</v>
      </c>
      <c r="M7" s="7" t="n">
        <v>5160735</v>
      </c>
      <c r="N7" s="7" t="n">
        <v>5405015</v>
      </c>
      <c r="O7" s="7" t="n">
        <v>6008952</v>
      </c>
      <c r="P7" s="7" t="n">
        <v>6706304</v>
      </c>
      <c r="Q7" s="7" t="n">
        <v>6396360</v>
      </c>
      <c r="R7" s="7" t="n">
        <v>6581465</v>
      </c>
      <c r="S7" s="7" t="n">
        <v>7788507</v>
      </c>
      <c r="T7" s="7" t="n">
        <v>7698038</v>
      </c>
      <c r="U7" s="7" t="n">
        <v>8052183</v>
      </c>
      <c r="V7" s="7" t="n">
        <v>8422621</v>
      </c>
      <c r="W7" s="7" t="n">
        <v>8810100</v>
      </c>
      <c r="X7" s="7" t="n">
        <v>9215406</v>
      </c>
      <c r="Y7" s="7" t="n">
        <v>9639357</v>
      </c>
      <c r="Z7" s="7" t="n">
        <v>10082813</v>
      </c>
      <c r="AA7" s="7" t="n">
        <v>10546669</v>
      </c>
      <c r="AB7" s="7" t="n">
        <v>11031864</v>
      </c>
      <c r="AC7" s="7" t="n">
        <v>11539381</v>
      </c>
      <c r="AD7" s="7" t="n">
        <v>12070246</v>
      </c>
      <c r="AE7" s="7" t="n">
        <v>12625534</v>
      </c>
      <c r="AF7" s="7" t="n">
        <v>13206367</v>
      </c>
      <c r="AG7" s="7" t="n">
        <v>13813921</v>
      </c>
      <c r="AH7" s="7" t="n">
        <v>14449426</v>
      </c>
    </row>
    <row r="8">
      <c r="A8" s="6" t="inlineStr">
        <is>
          <t>Instructional Leadership</t>
        </is>
      </c>
      <c r="C8" s="7" t="n">
        <v>6940458</v>
      </c>
      <c r="D8" s="7" t="n">
        <v>7002704</v>
      </c>
      <c r="E8" s="7" t="n">
        <v>7561407</v>
      </c>
      <c r="F8" s="7" t="n">
        <v>7122500</v>
      </c>
      <c r="G8" s="7" t="n">
        <v>8185912</v>
      </c>
      <c r="H8" s="7" t="n">
        <v>8556112</v>
      </c>
      <c r="I8" s="7" t="n">
        <v>9445064</v>
      </c>
      <c r="J8" s="7" t="n">
        <v>10988244</v>
      </c>
      <c r="K8" s="7" t="n">
        <v>9934245</v>
      </c>
      <c r="L8" s="7" t="n">
        <v>9603031</v>
      </c>
      <c r="M8" s="7" t="n">
        <v>11798210</v>
      </c>
      <c r="N8" s="7" t="n">
        <v>11541068</v>
      </c>
      <c r="O8" s="7" t="n">
        <v>12203961</v>
      </c>
      <c r="P8" s="7" t="n">
        <v>11742960</v>
      </c>
      <c r="Q8" s="7" t="n">
        <v>10801800</v>
      </c>
      <c r="R8" s="7" t="n">
        <v>11079386</v>
      </c>
      <c r="S8" s="7" t="n">
        <v>10583661</v>
      </c>
      <c r="T8" s="7" t="n">
        <v>10200526</v>
      </c>
      <c r="U8" s="7" t="n">
        <v>10404399</v>
      </c>
      <c r="V8" s="7" t="n">
        <v>10612346</v>
      </c>
      <c r="W8" s="7" t="n">
        <v>10824450</v>
      </c>
      <c r="X8" s="7" t="n">
        <v>11040793</v>
      </c>
      <c r="Y8" s="7" t="n">
        <v>11261460</v>
      </c>
      <c r="Z8" s="7" t="n">
        <v>11486538</v>
      </c>
      <c r="AA8" s="7" t="n">
        <v>11716114</v>
      </c>
      <c r="AB8" s="7" t="n">
        <v>11950278</v>
      </c>
      <c r="AC8" s="7" t="n">
        <v>12189122</v>
      </c>
      <c r="AD8" s="7" t="n">
        <v>12432741</v>
      </c>
      <c r="AE8" s="7" t="n">
        <v>12681228</v>
      </c>
      <c r="AF8" s="7" t="n">
        <v>12934681</v>
      </c>
      <c r="AG8" s="7" t="n">
        <v>13193201</v>
      </c>
      <c r="AH8" s="7" t="n">
        <v>13456887</v>
      </c>
    </row>
    <row r="9">
      <c r="A9" s="6" t="inlineStr">
        <is>
          <t>Instructional Materials, Equipment and Technology</t>
        </is>
      </c>
      <c r="C9" s="7" t="n">
        <v>2136498</v>
      </c>
      <c r="D9" s="7" t="n">
        <v>2472304</v>
      </c>
      <c r="E9" s="7" t="n">
        <v>3154452</v>
      </c>
      <c r="F9" s="7" t="n">
        <v>2756875</v>
      </c>
      <c r="G9" s="7" t="n">
        <v>2887472</v>
      </c>
      <c r="H9" s="7" t="n">
        <v>2827744</v>
      </c>
      <c r="I9" s="7" t="n">
        <v>3829080</v>
      </c>
      <c r="J9" s="7" t="n">
        <v>4248072</v>
      </c>
      <c r="K9" s="7" t="n">
        <v>4947885</v>
      </c>
      <c r="L9" s="7" t="n">
        <v>5671327</v>
      </c>
      <c r="M9" s="7" t="n">
        <v>4029615</v>
      </c>
      <c r="N9" s="7" t="n">
        <v>3219678</v>
      </c>
      <c r="O9" s="7" t="n">
        <v>3982998</v>
      </c>
      <c r="P9" s="7" t="n">
        <v>4835744</v>
      </c>
      <c r="Q9" s="7" t="n">
        <v>3685320</v>
      </c>
      <c r="R9" s="7" t="n">
        <v>4659818</v>
      </c>
      <c r="S9" s="7" t="n">
        <v>4536858</v>
      </c>
      <c r="T9" s="7" t="n">
        <v>4464056</v>
      </c>
      <c r="U9" s="7" t="n">
        <v>4648490</v>
      </c>
      <c r="V9" s="7" t="n">
        <v>4840543</v>
      </c>
      <c r="W9" s="7" t="n">
        <v>5040532</v>
      </c>
      <c r="X9" s="7" t="n">
        <v>5248782</v>
      </c>
      <c r="Y9" s="7" t="n">
        <v>5465637</v>
      </c>
      <c r="Z9" s="7" t="n">
        <v>5691452</v>
      </c>
      <c r="AA9" s="7" t="n">
        <v>5926596</v>
      </c>
      <c r="AB9" s="7" t="n">
        <v>6171454</v>
      </c>
      <c r="AC9" s="7" t="n">
        <v>6426430</v>
      </c>
      <c r="AD9" s="7" t="n">
        <v>6691940</v>
      </c>
      <c r="AE9" s="7" t="n">
        <v>6968419</v>
      </c>
      <c r="AF9" s="7" t="n">
        <v>7256321</v>
      </c>
      <c r="AG9" s="7" t="n">
        <v>7556118</v>
      </c>
      <c r="AH9" s="7" t="n">
        <v>7868301</v>
      </c>
    </row>
    <row r="10">
      <c r="A10" s="6" t="inlineStr">
        <is>
          <t>Insurance, Retirement Programs and Other</t>
        </is>
      </c>
      <c r="C10" s="7" t="n">
        <v>17224725</v>
      </c>
      <c r="D10" s="7" t="n">
        <v>18212208</v>
      </c>
      <c r="E10" s="7" t="n">
        <v>16355436</v>
      </c>
      <c r="F10" s="7" t="n">
        <v>17476250</v>
      </c>
      <c r="G10" s="7" t="n">
        <v>19038824</v>
      </c>
      <c r="H10" s="7" t="n">
        <v>20974864</v>
      </c>
      <c r="I10" s="7" t="n">
        <v>21990932</v>
      </c>
      <c r="J10" s="7" t="n">
        <v>24652620</v>
      </c>
      <c r="K10" s="7" t="n">
        <v>25308855</v>
      </c>
      <c r="L10" s="7" t="n">
        <v>26406385</v>
      </c>
      <c r="M10" s="7" t="n">
        <v>28199450</v>
      </c>
      <c r="N10" s="7" t="n">
        <v>29342621</v>
      </c>
      <c r="O10" s="7" t="n">
        <v>30458220</v>
      </c>
      <c r="P10" s="7" t="n">
        <v>32118208</v>
      </c>
      <c r="Q10" s="7" t="n">
        <v>33782100</v>
      </c>
      <c r="R10" s="7" t="n">
        <v>36025602</v>
      </c>
      <c r="S10" s="7" t="n">
        <v>38759937</v>
      </c>
    </row>
    <row r="11">
      <c r="A11" s="6" t="inlineStr">
        <is>
          <t>Operations and Maintenance</t>
        </is>
      </c>
      <c r="C11" s="7" t="n">
        <v>9734340</v>
      </c>
      <c r="D11" s="7" t="n">
        <v>9364984</v>
      </c>
      <c r="E11" s="7" t="n">
        <v>9576015</v>
      </c>
      <c r="F11" s="7" t="n">
        <v>9576875</v>
      </c>
      <c r="G11" s="7" t="n">
        <v>9658096</v>
      </c>
      <c r="H11" s="7" t="n">
        <v>10239640</v>
      </c>
      <c r="I11" s="7" t="n">
        <v>10413596</v>
      </c>
      <c r="J11" s="7" t="n">
        <v>10804212</v>
      </c>
      <c r="K11" s="7" t="n">
        <v>10965375</v>
      </c>
      <c r="L11" s="7" t="n">
        <v>12520605</v>
      </c>
      <c r="M11" s="7" t="n">
        <v>12497305</v>
      </c>
      <c r="N11" s="7" t="n">
        <v>12707618</v>
      </c>
      <c r="O11" s="7" t="n">
        <v>17317083</v>
      </c>
      <c r="P11" s="7" t="n">
        <v>17195296</v>
      </c>
      <c r="Q11" s="7" t="n">
        <v>13639920</v>
      </c>
      <c r="R11" s="7" t="n">
        <v>14971953</v>
      </c>
      <c r="S11" s="7" t="n">
        <v>16595349</v>
      </c>
      <c r="T11" s="7" t="n">
        <v>16106457</v>
      </c>
      <c r="U11" s="7" t="n">
        <v>16543274</v>
      </c>
      <c r="V11" s="7" t="n">
        <v>16991937</v>
      </c>
      <c r="W11" s="7" t="n">
        <v>17452769</v>
      </c>
      <c r="X11" s="7" t="n">
        <v>17926098</v>
      </c>
      <c r="Y11" s="7" t="n">
        <v>18412265</v>
      </c>
      <c r="Z11" s="7" t="n">
        <v>18911616</v>
      </c>
      <c r="AA11" s="7" t="n">
        <v>19424511</v>
      </c>
      <c r="AB11" s="7" t="n">
        <v>19951315</v>
      </c>
      <c r="AC11" s="7" t="n">
        <v>20492406</v>
      </c>
      <c r="AD11" s="7" t="n">
        <v>21048173</v>
      </c>
      <c r="AE11" s="7" t="n">
        <v>21619012</v>
      </c>
      <c r="AF11" s="7" t="n">
        <v>22205332</v>
      </c>
      <c r="AG11" s="7" t="n">
        <v>22807554</v>
      </c>
      <c r="AH11" s="7" t="n">
        <v>23426108</v>
      </c>
    </row>
    <row r="12">
      <c r="A12" s="6" t="inlineStr">
        <is>
          <t>Other Teaching Services</t>
        </is>
      </c>
      <c r="C12" s="7" t="n">
        <v>10353798</v>
      </c>
      <c r="D12" s="7" t="n">
        <v>10821184</v>
      </c>
      <c r="E12" s="7" t="n">
        <v>11159868</v>
      </c>
      <c r="F12" s="7" t="n">
        <v>13818750</v>
      </c>
      <c r="G12" s="7" t="n">
        <v>12986512</v>
      </c>
      <c r="H12" s="7" t="n">
        <v>11413008</v>
      </c>
      <c r="I12" s="7" t="n">
        <v>11359604</v>
      </c>
      <c r="J12" s="7" t="n">
        <v>12659868</v>
      </c>
      <c r="K12" s="7" t="n">
        <v>10873035</v>
      </c>
      <c r="L12" s="7" t="n">
        <v>18519574</v>
      </c>
      <c r="M12" s="7" t="n">
        <v>16888250</v>
      </c>
      <c r="N12" s="7" t="n">
        <v>17817107</v>
      </c>
      <c r="O12" s="7" t="n">
        <v>17999292</v>
      </c>
      <c r="P12" s="7" t="n">
        <v>18677888</v>
      </c>
      <c r="Q12" s="7" t="n">
        <v>19344400</v>
      </c>
      <c r="R12" s="7" t="n">
        <v>21384482</v>
      </c>
      <c r="S12" s="7" t="n">
        <v>22571922</v>
      </c>
      <c r="T12" s="7" t="n">
        <v>22246233</v>
      </c>
      <c r="U12" s="7" t="n">
        <v>23203432</v>
      </c>
      <c r="V12" s="7" t="n">
        <v>24201818</v>
      </c>
      <c r="W12" s="7" t="n">
        <v>25243161</v>
      </c>
      <c r="X12" s="7" t="n">
        <v>26329310</v>
      </c>
      <c r="Y12" s="7" t="n">
        <v>27462194</v>
      </c>
      <c r="Z12" s="7" t="n">
        <v>28643823</v>
      </c>
      <c r="AA12" s="7" t="n">
        <v>29876294</v>
      </c>
      <c r="AB12" s="7" t="n">
        <v>31161796</v>
      </c>
      <c r="AC12" s="7" t="n">
        <v>32502609</v>
      </c>
      <c r="AD12" s="7" t="n">
        <v>33901114</v>
      </c>
      <c r="AE12" s="7" t="n">
        <v>35359793</v>
      </c>
      <c r="AF12" s="7" t="n">
        <v>36881236</v>
      </c>
      <c r="AG12" s="7" t="n">
        <v>38468142</v>
      </c>
      <c r="AH12" s="7" t="n">
        <v>40123329</v>
      </c>
    </row>
    <row r="13">
      <c r="A13" s="6" t="inlineStr">
        <is>
          <t>Professional Development</t>
        </is>
      </c>
      <c r="C13" s="7" t="n">
        <v>1536003</v>
      </c>
      <c r="D13" s="7" t="n">
        <v>1598584</v>
      </c>
      <c r="E13" s="7" t="n">
        <v>1895322</v>
      </c>
      <c r="F13" s="7" t="n">
        <v>1980000</v>
      </c>
      <c r="G13" s="7" t="n">
        <v>1678432</v>
      </c>
      <c r="H13" s="7" t="n">
        <v>2047928</v>
      </c>
      <c r="I13" s="7" t="n">
        <v>1997128</v>
      </c>
      <c r="J13" s="7" t="n">
        <v>2377080</v>
      </c>
      <c r="K13" s="7" t="n">
        <v>2331585</v>
      </c>
      <c r="L13" s="7" t="n">
        <v>1170150</v>
      </c>
      <c r="M13" s="7" t="n">
        <v>1036860</v>
      </c>
      <c r="N13" s="7" t="n">
        <v>1088780</v>
      </c>
      <c r="O13" s="7" t="n">
        <v>971631</v>
      </c>
      <c r="P13" s="7" t="n">
        <v>1607296</v>
      </c>
      <c r="Q13" s="7" t="n">
        <v>1736760</v>
      </c>
      <c r="R13" s="7" t="n">
        <v>1274059</v>
      </c>
      <c r="S13" s="7" t="n">
        <v>1207956</v>
      </c>
      <c r="T13" s="7" t="n">
        <v>1117026</v>
      </c>
      <c r="U13" s="7" t="n">
        <v>1093160</v>
      </c>
      <c r="V13" s="7" t="n">
        <v>1069803</v>
      </c>
      <c r="W13" s="7" t="n">
        <v>1046945</v>
      </c>
      <c r="X13" s="7" t="n">
        <v>1024576</v>
      </c>
      <c r="Y13" s="7" t="n">
        <v>1002684</v>
      </c>
      <c r="Z13" s="7" t="n">
        <v>981260</v>
      </c>
      <c r="AA13" s="7" t="n">
        <v>960294</v>
      </c>
      <c r="AB13" s="7" t="n">
        <v>939776</v>
      </c>
      <c r="AC13" s="7" t="n">
        <v>919697</v>
      </c>
      <c r="AD13" s="7" t="n">
        <v>900046</v>
      </c>
      <c r="AE13" s="7" t="n">
        <v>880815</v>
      </c>
      <c r="AF13" s="7" t="n">
        <v>861996</v>
      </c>
      <c r="AG13" s="7" t="n">
        <v>843578</v>
      </c>
      <c r="AH13" s="7" t="n">
        <v>825554</v>
      </c>
    </row>
    <row r="14">
      <c r="A14" s="6" t="inlineStr">
        <is>
          <t>Pupil Services</t>
        </is>
      </c>
      <c r="C14" s="7" t="n">
        <v>4304601</v>
      </c>
      <c r="D14" s="7" t="n">
        <v>4743976</v>
      </c>
      <c r="E14" s="7" t="n">
        <v>5208822</v>
      </c>
      <c r="F14" s="7" t="n">
        <v>5706250</v>
      </c>
      <c r="G14" s="7" t="n">
        <v>5796280</v>
      </c>
      <c r="H14" s="7" t="n">
        <v>5385832</v>
      </c>
      <c r="I14" s="7" t="n">
        <v>6329244</v>
      </c>
      <c r="J14" s="7" t="n">
        <v>7345944</v>
      </c>
      <c r="K14" s="7" t="n">
        <v>8072055</v>
      </c>
      <c r="L14" s="7" t="n">
        <v>8440682</v>
      </c>
      <c r="M14" s="7" t="n">
        <v>7407265</v>
      </c>
      <c r="N14" s="7" t="n">
        <v>7668122</v>
      </c>
      <c r="O14" s="7" t="n">
        <v>7042602</v>
      </c>
      <c r="P14" s="7" t="n">
        <v>9505216</v>
      </c>
      <c r="Q14" s="7" t="n">
        <v>12030240</v>
      </c>
      <c r="R14" s="7" t="n">
        <v>12684278</v>
      </c>
      <c r="S14" s="7" t="n">
        <v>12023376</v>
      </c>
      <c r="T14" s="7" t="n">
        <v>12034856</v>
      </c>
      <c r="U14" s="7" t="n">
        <v>12748621</v>
      </c>
      <c r="V14" s="7" t="n">
        <v>13504717</v>
      </c>
      <c r="W14" s="7" t="n">
        <v>14305656</v>
      </c>
      <c r="X14" s="7" t="n">
        <v>15154098</v>
      </c>
      <c r="Y14" s="7" t="n">
        <v>16052858</v>
      </c>
      <c r="Z14" s="7" t="n">
        <v>17004923</v>
      </c>
      <c r="AA14" s="7" t="n">
        <v>18013452</v>
      </c>
      <c r="AB14" s="7" t="n">
        <v>19081796</v>
      </c>
      <c r="AC14" s="7" t="n">
        <v>20213501</v>
      </c>
      <c r="AD14" s="7" t="n">
        <v>21412325</v>
      </c>
      <c r="AE14" s="7" t="n">
        <v>22682249</v>
      </c>
      <c r="AF14" s="7" t="n">
        <v>24027490</v>
      </c>
      <c r="AG14" s="7" t="n">
        <v>25452514</v>
      </c>
      <c r="AH14" s="7" t="n">
        <v>26962055</v>
      </c>
    </row>
    <row r="15">
      <c r="A15" s="8" t="inlineStr">
        <is>
          <t>Teachers</t>
        </is>
      </c>
      <c r="C15" s="7" t="n">
        <v>42104181</v>
      </c>
      <c r="D15" s="7" t="n">
        <v>41174864</v>
      </c>
      <c r="E15" s="7" t="n">
        <v>41697084</v>
      </c>
      <c r="F15" s="7" t="n">
        <v>42796875</v>
      </c>
      <c r="G15" s="7" t="n">
        <v>46114208</v>
      </c>
      <c r="H15" s="7" t="n">
        <v>50615160</v>
      </c>
      <c r="I15" s="7" t="n">
        <v>53186672</v>
      </c>
      <c r="J15" s="7" t="n">
        <v>56283120</v>
      </c>
      <c r="K15" s="7" t="n">
        <v>61744680</v>
      </c>
      <c r="L15" s="7" t="n">
        <v>59810267</v>
      </c>
      <c r="M15" s="7" t="n">
        <v>63570515</v>
      </c>
      <c r="N15" s="7" t="n">
        <v>66011176</v>
      </c>
      <c r="O15" s="7" t="n">
        <v>68923782</v>
      </c>
      <c r="P15" s="7" t="n">
        <v>64409616</v>
      </c>
      <c r="Q15" s="7" t="n">
        <v>70381140</v>
      </c>
      <c r="R15" s="7" t="n">
        <v>71213563</v>
      </c>
      <c r="S15" s="7" t="n">
        <v>71866359</v>
      </c>
      <c r="T15" s="7" t="n">
        <v>69754433</v>
      </c>
      <c r="U15" s="7" t="n">
        <v>71651582</v>
      </c>
      <c r="V15" s="7" t="n">
        <v>73600329</v>
      </c>
      <c r="W15" s="7" t="n">
        <v>75602077</v>
      </c>
      <c r="X15" s="7" t="n">
        <v>77658267</v>
      </c>
      <c r="Y15" s="7" t="n">
        <v>79770381</v>
      </c>
      <c r="Z15" s="7" t="n">
        <v>81939939</v>
      </c>
      <c r="AA15" s="7" t="n">
        <v>84168504</v>
      </c>
      <c r="AB15" s="7" t="n">
        <v>86457681</v>
      </c>
      <c r="AC15" s="7" t="n">
        <v>88809117</v>
      </c>
      <c r="AD15" s="7" t="n">
        <v>91224507</v>
      </c>
      <c r="AE15" s="7" t="n">
        <v>93705589</v>
      </c>
      <c r="AF15" s="7" t="n">
        <v>96254151</v>
      </c>
      <c r="AG15" s="7" t="n">
        <v>98872027</v>
      </c>
      <c r="AH15" s="7" t="n">
        <v>101561103</v>
      </c>
    </row>
    <row r="16">
      <c r="A16" s="8" t="inlineStr">
        <is>
          <t>TOTAL (Total In-District Expenditures, FY2009-2025; category sum, FY2026-2040)</t>
        </is>
      </c>
      <c r="C16" s="7" t="n">
        <v>102602472</v>
      </c>
      <c r="D16" s="7" t="n">
        <v>103707328</v>
      </c>
      <c r="E16" s="7" t="n">
        <v>105190371</v>
      </c>
      <c r="F16" s="7" t="n">
        <v>109993125</v>
      </c>
      <c r="G16" s="7" t="n">
        <v>115733576</v>
      </c>
      <c r="H16" s="7" t="n">
        <v>121571128</v>
      </c>
      <c r="I16" s="7" t="n">
        <v>128874820</v>
      </c>
      <c r="J16" s="7" t="n">
        <v>140907168</v>
      </c>
      <c r="K16" s="7" t="n">
        <v>146066490</v>
      </c>
      <c r="L16" s="7" t="n">
        <v>151924475</v>
      </c>
      <c r="M16" s="7" t="n">
        <v>155678245</v>
      </c>
      <c r="N16" s="7" t="n">
        <v>160509503</v>
      </c>
      <c r="O16" s="7" t="n">
        <v>170752089</v>
      </c>
      <c r="P16" s="7" t="n">
        <v>172562624</v>
      </c>
      <c r="Q16" s="7" t="n">
        <v>181787940</v>
      </c>
      <c r="R16" s="7" t="n">
        <v>187821637</v>
      </c>
      <c r="S16" s="7" t="n">
        <v>193757547</v>
      </c>
      <c r="T16" s="7" t="n">
        <v>151173083</v>
      </c>
      <c r="U16" s="7" t="n">
        <v>156072693</v>
      </c>
      <c r="V16" s="7" t="n">
        <v>161151867</v>
      </c>
      <c r="W16" s="7" t="n">
        <v>166417846</v>
      </c>
      <c r="X16" s="7" t="n">
        <v>171878190</v>
      </c>
      <c r="Y16" s="7" t="n">
        <v>177540799</v>
      </c>
      <c r="Z16" s="7" t="n">
        <v>183413934</v>
      </c>
      <c r="AA16" s="7" t="n">
        <v>189506218</v>
      </c>
      <c r="AB16" s="7" t="n">
        <v>195826675</v>
      </c>
      <c r="AC16" s="7" t="n">
        <v>202384733</v>
      </c>
      <c r="AD16" s="7" t="n">
        <v>209190256</v>
      </c>
      <c r="AE16" s="7" t="n">
        <v>216253550</v>
      </c>
      <c r="AF16" s="7" t="n">
        <v>223585402</v>
      </c>
      <c r="AG16" s="7" t="n">
        <v>231197093</v>
      </c>
      <c r="AH16" s="7" t="n">
        <v>239100425</v>
      </c>
    </row>
    <row r="17"/>
    <row r="18">
      <c r="A18" s="6" t="inlineStr">
        <is>
          <t>Total enrollment (context - see Guide/DESE sourcing)</t>
        </is>
      </c>
      <c r="C18" s="22" t="n">
        <v>6321</v>
      </c>
      <c r="D18" s="22" t="n">
        <v>6472</v>
      </c>
      <c r="E18" s="22" t="n">
        <v>6627</v>
      </c>
      <c r="F18" s="22" t="n">
        <v>6875</v>
      </c>
      <c r="G18" s="22" t="n">
        <v>7112</v>
      </c>
      <c r="H18" s="22" t="n">
        <v>7288</v>
      </c>
      <c r="I18" s="22" t="n">
        <v>7508</v>
      </c>
      <c r="J18" s="22" t="n">
        <v>7668</v>
      </c>
      <c r="K18" s="22" t="n">
        <v>7695</v>
      </c>
      <c r="L18" s="22" t="n">
        <v>7801</v>
      </c>
      <c r="M18" s="22" t="n">
        <v>7855</v>
      </c>
      <c r="N18" s="22" t="n">
        <v>7777</v>
      </c>
      <c r="O18" s="22" t="n">
        <v>6891</v>
      </c>
      <c r="P18" s="22" t="n">
        <v>6928</v>
      </c>
      <c r="Q18" s="22" t="n">
        <v>7060</v>
      </c>
      <c r="R18" s="22" t="n">
        <v>7039</v>
      </c>
      <c r="S18" s="22" t="n">
        <v>7023</v>
      </c>
    </row>
    <row r="19">
      <c r="A19" s="6" t="inlineStr">
        <is>
          <t>Average teacher salary (context, FY2018+ only)</t>
        </is>
      </c>
      <c r="L19" s="7" t="n">
        <v>95968</v>
      </c>
      <c r="M19" s="7" t="n">
        <v>98614</v>
      </c>
      <c r="N19" s="7" t="n">
        <v>100041</v>
      </c>
      <c r="O19" s="7" t="n">
        <v>101158</v>
      </c>
      <c r="P19" s="7" t="n">
        <v>104268</v>
      </c>
      <c r="Q19" s="7" t="n">
        <v>115926</v>
      </c>
      <c r="R19" s="7" t="n">
        <v>122329</v>
      </c>
      <c r="S19" s="7" t="n">
        <v>131997</v>
      </c>
    </row>
  </sheetData>
  <mergeCells count="2">
    <mergeCell ref="A3:Q3"/>
    <mergeCell ref="A1:W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W12"/>
  <sheetViews>
    <sheetView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58"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s>
  <sheetData>
    <row r="1" ht="26" customHeight="1">
      <c r="A1" s="1" t="inlineStr">
        <is>
          <t>Benefits Budget by Category, FY2023-2040</t>
        </is>
      </c>
    </row>
    <row r="2"/>
    <row r="3" ht="98" customHeight="1">
      <c r="A3" s="2" t="inlineStr">
        <is>
          <t>Cited/reference data - a bespoke, multi-source sub-model (Town's own Personnel Benefits Detailed tables for FY2023-2025 actuals and FY2026-2031; benefits_category_forecast.py's own category-specific modeling for FY2032-2040), not re-derived as live formulas, per this workbook's hybrid design (see Guide tab). FY2023-2025 (grey): real actuals, transcribed directly from three successive Financial Plans' own detail tables. FY2026-2040 (green, KEY): benefits_category_forecast.py's own output - Pensions use the real 2024 actuarial valuation's ADC schedule through FY2031 then a 3.0%/yr payroll-growth proxy (Normal Cost only, post-full-funding); Group Health its own ~6.5%/yr historical trend; OPEB the Town's real FY26-31 schedule (including the pension→OPEB redirect in FY2031) then held flat, no documented schedule exists beyond; Other the Town's own FY26-31 implied rate. See benefits_category_forecast_fy26_40_methodology.md for the full reasoning on every choice.</t>
        </is>
      </c>
    </row>
    <row r="4"/>
    <row r="5">
      <c r="A5" s="4" t="inlineStr">
        <is>
          <t>Line item</t>
        </is>
      </c>
      <c r="C5" s="5" t="inlineStr">
        <is>
          <t>FY2023</t>
        </is>
      </c>
      <c r="D5" s="5" t="inlineStr">
        <is>
          <t>FY2024</t>
        </is>
      </c>
      <c r="E5" s="5" t="inlineStr">
        <is>
          <t>FY2025</t>
        </is>
      </c>
      <c r="F5" s="5" t="inlineStr">
        <is>
          <t>FY2026</t>
        </is>
      </c>
      <c r="G5" s="5" t="inlineStr">
        <is>
          <t>FY2027</t>
        </is>
      </c>
      <c r="H5" s="5" t="inlineStr">
        <is>
          <t>FY2028</t>
        </is>
      </c>
      <c r="I5" s="5" t="inlineStr">
        <is>
          <t>FY2029</t>
        </is>
      </c>
      <c r="J5" s="5" t="inlineStr">
        <is>
          <t>FY2030</t>
        </is>
      </c>
      <c r="K5" s="5" t="inlineStr">
        <is>
          <t>FY2031</t>
        </is>
      </c>
      <c r="L5" s="5" t="inlineStr">
        <is>
          <t>FY2032</t>
        </is>
      </c>
      <c r="M5" s="5" t="inlineStr">
        <is>
          <t>FY2033</t>
        </is>
      </c>
      <c r="N5" s="5" t="inlineStr">
        <is>
          <t>FY2034</t>
        </is>
      </c>
      <c r="O5" s="5" t="inlineStr">
        <is>
          <t>FY2035</t>
        </is>
      </c>
      <c r="P5" s="5" t="inlineStr">
        <is>
          <t>FY2036</t>
        </is>
      </c>
      <c r="Q5" s="5" t="inlineStr">
        <is>
          <t>FY2037</t>
        </is>
      </c>
      <c r="R5" s="5" t="inlineStr">
        <is>
          <t>FY2038</t>
        </is>
      </c>
      <c r="S5" s="5" t="inlineStr">
        <is>
          <t>FY2039</t>
        </is>
      </c>
      <c r="T5" s="5" t="inlineStr">
        <is>
          <t>FY2040</t>
        </is>
      </c>
    </row>
    <row r="6">
      <c r="A6" s="8" t="inlineStr">
        <is>
          <t>Pensions (Contributory Retirement)</t>
        </is>
      </c>
      <c r="C6" s="7" t="n">
        <v>30553078</v>
      </c>
      <c r="D6" s="7" t="n">
        <v>33103579</v>
      </c>
      <c r="E6" s="7" t="n">
        <v>37517904</v>
      </c>
      <c r="F6" s="7" t="n">
        <v>40001411</v>
      </c>
      <c r="G6" s="7" t="n">
        <v>43141522</v>
      </c>
      <c r="H6" s="7" t="n">
        <v>46528131</v>
      </c>
      <c r="I6" s="7" t="n">
        <v>50180589</v>
      </c>
      <c r="J6" s="7" t="n">
        <v>38764136</v>
      </c>
      <c r="K6" s="7" t="n">
        <v>9164987</v>
      </c>
      <c r="L6" s="7" t="n">
        <v>9439937</v>
      </c>
      <c r="M6" s="7" t="n">
        <v>9723135</v>
      </c>
      <c r="N6" s="7" t="n">
        <v>10014829</v>
      </c>
      <c r="O6" s="7" t="n">
        <v>10315274</v>
      </c>
      <c r="P6" s="7" t="n">
        <v>10624732</v>
      </c>
      <c r="Q6" s="7" t="n">
        <v>10943474</v>
      </c>
      <c r="R6" s="7" t="n">
        <v>11271778</v>
      </c>
      <c r="S6" s="7" t="n">
        <v>11609931</v>
      </c>
      <c r="T6" s="7" t="n">
        <v>11958229</v>
      </c>
    </row>
    <row r="7">
      <c r="A7" s="6" t="inlineStr">
        <is>
          <t>Group Health Insurance (GIC)</t>
        </is>
      </c>
      <c r="C7" s="7" t="n">
        <v>33971831</v>
      </c>
      <c r="D7" s="7" t="n">
        <v>34756062</v>
      </c>
      <c r="E7" s="7" t="n">
        <v>38268676</v>
      </c>
      <c r="F7" s="7" t="n">
        <v>41625292</v>
      </c>
      <c r="G7" s="7" t="n">
        <v>47593348</v>
      </c>
      <c r="H7" s="7" t="n">
        <v>53439642</v>
      </c>
      <c r="I7" s="7" t="n">
        <v>60604038</v>
      </c>
      <c r="J7" s="7" t="n">
        <v>64559281</v>
      </c>
      <c r="K7" s="7" t="n">
        <v>69401228</v>
      </c>
      <c r="L7" s="7" t="n">
        <v>73938893</v>
      </c>
      <c r="M7" s="7" t="n">
        <v>78773244</v>
      </c>
      <c r="N7" s="7" t="n">
        <v>83923679</v>
      </c>
      <c r="O7" s="7" t="n">
        <v>89410866</v>
      </c>
      <c r="P7" s="7" t="n">
        <v>95256822</v>
      </c>
      <c r="Q7" s="7" t="n">
        <v>101485005</v>
      </c>
      <c r="R7" s="7" t="n">
        <v>108120405</v>
      </c>
      <c r="S7" s="7" t="n">
        <v>115189648</v>
      </c>
      <c r="T7" s="7" t="n">
        <v>122721099</v>
      </c>
    </row>
    <row r="8">
      <c r="A8" s="8" t="inlineStr">
        <is>
          <t>OPEB (Retiree Group Health Trust)</t>
        </is>
      </c>
      <c r="C8" s="7" t="n">
        <v>4431980</v>
      </c>
      <c r="D8" s="7" t="n">
        <v>4681980</v>
      </c>
      <c r="E8" s="7" t="n">
        <v>5415980</v>
      </c>
      <c r="F8" s="7" t="n">
        <v>4931980</v>
      </c>
      <c r="G8" s="7" t="n">
        <v>5181980</v>
      </c>
      <c r="H8" s="7" t="n">
        <v>5431980</v>
      </c>
      <c r="I8" s="7" t="n">
        <v>5681980</v>
      </c>
      <c r="J8" s="7" t="n">
        <v>5931980</v>
      </c>
      <c r="K8" s="7" t="n">
        <v>42994233</v>
      </c>
      <c r="L8" s="7" t="n">
        <v>42994233</v>
      </c>
      <c r="M8" s="7" t="n">
        <v>42994233</v>
      </c>
      <c r="N8" s="7" t="n">
        <v>42994233</v>
      </c>
      <c r="O8" s="7" t="n">
        <v>42994233</v>
      </c>
      <c r="P8" s="7" t="n">
        <v>42994233</v>
      </c>
      <c r="Q8" s="7" t="n">
        <v>42994233</v>
      </c>
      <c r="R8" s="7" t="n">
        <v>42994233</v>
      </c>
      <c r="S8" s="7" t="n">
        <v>42994233</v>
      </c>
      <c r="T8" s="7" t="n">
        <v>42994233</v>
      </c>
    </row>
    <row r="9">
      <c r="A9" s="6" t="inlineStr">
        <is>
          <t>Other (Group Life, Medicare, Workers' Comp, Disability, IOD, Unemployment)</t>
        </is>
      </c>
      <c r="F9" s="7" t="n">
        <v>6166821</v>
      </c>
      <c r="G9" s="7" t="n">
        <v>6751144</v>
      </c>
      <c r="H9" s="7" t="n">
        <v>7065901</v>
      </c>
      <c r="I9" s="7" t="n">
        <v>7387023</v>
      </c>
      <c r="J9" s="7" t="n">
        <v>7727009</v>
      </c>
      <c r="K9" s="7" t="n">
        <v>8087058</v>
      </c>
      <c r="L9" s="7" t="n">
        <v>8537612</v>
      </c>
      <c r="M9" s="7" t="n">
        <v>9013267</v>
      </c>
      <c r="N9" s="7" t="n">
        <v>9515423</v>
      </c>
      <c r="O9" s="7" t="n">
        <v>10045555</v>
      </c>
      <c r="P9" s="7" t="n">
        <v>10605222</v>
      </c>
      <c r="Q9" s="7" t="n">
        <v>11196070</v>
      </c>
      <c r="R9" s="7" t="n">
        <v>11819836</v>
      </c>
      <c r="S9" s="7" t="n">
        <v>12478354</v>
      </c>
      <c r="T9" s="7" t="n">
        <v>13173560</v>
      </c>
    </row>
    <row r="10">
      <c r="A10" s="8" t="inlineStr">
        <is>
          <t>TOTAL BENEFITS</t>
        </is>
      </c>
      <c r="C10" s="7" t="n">
        <v>68956889</v>
      </c>
      <c r="D10" s="7" t="n">
        <v>72541621</v>
      </c>
      <c r="E10" s="7" t="n">
        <v>81202560</v>
      </c>
      <c r="F10" s="7" t="n">
        <v>92725504</v>
      </c>
      <c r="G10" s="7" t="n">
        <v>102667994</v>
      </c>
      <c r="H10" s="7" t="n">
        <v>112465654</v>
      </c>
      <c r="I10" s="7" t="n">
        <v>123853630</v>
      </c>
      <c r="J10" s="7" t="n">
        <v>116982406</v>
      </c>
      <c r="K10" s="7" t="n">
        <v>129647506</v>
      </c>
      <c r="L10" s="7" t="n">
        <v>134910675</v>
      </c>
      <c r="M10" s="7" t="n">
        <v>140503879</v>
      </c>
      <c r="N10" s="7" t="n">
        <v>146448164</v>
      </c>
      <c r="O10" s="7" t="n">
        <v>152765928</v>
      </c>
      <c r="P10" s="7" t="n">
        <v>159481009</v>
      </c>
      <c r="Q10" s="7" t="n">
        <v>166618782</v>
      </c>
      <c r="R10" s="7" t="n">
        <v>174206252</v>
      </c>
      <c r="S10" s="7" t="n">
        <v>182272166</v>
      </c>
      <c r="T10" s="7" t="n">
        <v>190847121</v>
      </c>
    </row>
    <row r="11"/>
    <row r="12" ht="42" customHeight="1">
      <c r="A12" s="2" t="inlineStr">
        <is>
          <t>Group Health has a real, independently-sourced 25-year reconstruction (FY2000-2025) not shown on this tab for space - see output/benefits_category_history_fy00_25.csv and the methodology doc's own accuracy check (the reconstruction runs 3-6% above real actuals in the years both are known, so it's kept as historical context/shape, not shown here as precise annual data).</t>
        </is>
      </c>
    </row>
  </sheetData>
  <mergeCells count="3">
    <mergeCell ref="A3:Q3"/>
    <mergeCell ref="A1:W1"/>
    <mergeCell ref="A12:Q1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W16"/>
  <sheetViews>
    <sheetView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58"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ht="26" customHeight="1">
      <c r="A1" s="1" t="inlineStr">
        <is>
          <t>Town Balance Sheet — Liabilities, FY2025-2040</t>
        </is>
      </c>
    </row>
    <row r="2"/>
    <row r="3" ht="112" customHeight="1">
      <c r="A3" s="2" t="inlineStr">
        <is>
          <t>Entirely cited/reference data - a genuinely different kind of model from every other tab (a STOCK/balance forecast, not a flow), standalone rather than feeding into the Expense tab. FY2024 actual ties out exactly to the audited Statement of Net Position ($914,360,375 total - verified directly, not approximated). Long-term Debt: existing bonds run down on their real, contractual amortization schedule (no assumption); known projected new debt (4 specific, already-telegraphed tranches - Fire Station 3rd/4th/5th borrowings, Pierce's 3rd borrowing) amortized on an assumed 20yr level-principal basis (no real schedule exists yet for unissued bonds). Pierce School alone has ~$113.9M of real, already-authorized borrowing beyond what's included here - a real, flagged gap, not a ceiling on future debt. Net Pension Liability: the real, exact 2024 actuarial valuation schedule, retiring to $0 by FY2031 (statutory full funding) and held there. Net OPEB Liability: deliberately held flat as an explicit placeholder, NOT a projection - a real forecast needs a full actuarial roll-forward this project has explicitly parked as out of scope. See balance_sheet_liabilities_forecast_fy25_40_methodology.md for the full reasoning behind every line.</t>
        </is>
      </c>
    </row>
    <row r="4"/>
    <row r="5">
      <c r="A5" s="4" t="inlineStr">
        <is>
          <t>Line item</t>
        </is>
      </c>
      <c r="C5" s="5" t="inlineStr">
        <is>
          <t>FY2025</t>
        </is>
      </c>
      <c r="D5" s="5" t="inlineStr">
        <is>
          <t>FY2026</t>
        </is>
      </c>
      <c r="E5" s="5" t="inlineStr">
        <is>
          <t>FY2027</t>
        </is>
      </c>
      <c r="F5" s="5" t="inlineStr">
        <is>
          <t>FY2028</t>
        </is>
      </c>
      <c r="G5" s="5" t="inlineStr">
        <is>
          <t>FY2029</t>
        </is>
      </c>
      <c r="H5" s="5" t="inlineStr">
        <is>
          <t>FY2030</t>
        </is>
      </c>
      <c r="I5" s="5" t="inlineStr">
        <is>
          <t>FY2031</t>
        </is>
      </c>
      <c r="J5" s="5" t="inlineStr">
        <is>
          <t>FY2032</t>
        </is>
      </c>
      <c r="K5" s="5" t="inlineStr">
        <is>
          <t>FY2033</t>
        </is>
      </c>
      <c r="L5" s="5" t="inlineStr">
        <is>
          <t>FY2034</t>
        </is>
      </c>
      <c r="M5" s="5" t="inlineStr">
        <is>
          <t>FY2035</t>
        </is>
      </c>
      <c r="N5" s="5" t="inlineStr">
        <is>
          <t>FY2036</t>
        </is>
      </c>
      <c r="O5" s="5" t="inlineStr">
        <is>
          <t>FY2037</t>
        </is>
      </c>
      <c r="P5" s="5" t="inlineStr">
        <is>
          <t>FY2038</t>
        </is>
      </c>
      <c r="Q5" s="5" t="inlineStr">
        <is>
          <t>FY2039</t>
        </is>
      </c>
      <c r="R5" s="5" t="inlineStr">
        <is>
          <t>FY2040</t>
        </is>
      </c>
    </row>
    <row r="6">
      <c r="A6" s="6" t="inlineStr">
        <is>
          <t xml:space="preserve">  Long-term Debt: existing (real amortization schedule)</t>
        </is>
      </c>
      <c r="C6" s="7" t="n">
        <v>430912005</v>
      </c>
      <c r="D6" s="7" t="n">
        <v>409570320</v>
      </c>
      <c r="E6" s="7" t="n">
        <v>388387400</v>
      </c>
      <c r="F6" s="7" t="n">
        <v>366804470</v>
      </c>
      <c r="G6" s="7" t="n">
        <v>345651490</v>
      </c>
      <c r="H6" s="7" t="n">
        <v>324503460</v>
      </c>
      <c r="I6" s="7" t="n">
        <v>302910350</v>
      </c>
      <c r="J6" s="7" t="n">
        <v>281635000</v>
      </c>
      <c r="K6" s="7" t="n">
        <v>261640000</v>
      </c>
      <c r="L6" s="7" t="n">
        <v>241870000</v>
      </c>
      <c r="M6" s="7" t="n">
        <v>221875000</v>
      </c>
      <c r="N6" s="7" t="n">
        <v>201440000</v>
      </c>
      <c r="O6" s="7" t="n">
        <v>180685000</v>
      </c>
      <c r="P6" s="7" t="n">
        <v>159445000</v>
      </c>
      <c r="Q6" s="7" t="n">
        <v>138110000</v>
      </c>
      <c r="R6" s="7" t="n">
        <v>116310000</v>
      </c>
    </row>
    <row r="7">
      <c r="A7" s="6" t="inlineStr">
        <is>
          <t xml:space="preserve">  Long-term Debt: known projected new (Fire Station/Pierce tranches)</t>
        </is>
      </c>
      <c r="C7" s="7" t="n">
        <v>0</v>
      </c>
      <c r="D7" s="7" t="n">
        <v>90725000</v>
      </c>
      <c r="E7" s="7" t="n">
        <v>94500000</v>
      </c>
      <c r="F7" s="7" t="n">
        <v>98775000</v>
      </c>
      <c r="G7" s="7" t="n">
        <v>93050000</v>
      </c>
      <c r="H7" s="7" t="n">
        <v>87325000</v>
      </c>
      <c r="I7" s="7" t="n">
        <v>81600000</v>
      </c>
      <c r="J7" s="7" t="n">
        <v>75875000</v>
      </c>
      <c r="K7" s="7" t="n">
        <v>70150000</v>
      </c>
      <c r="L7" s="7" t="n">
        <v>64425000</v>
      </c>
      <c r="M7" s="7" t="n">
        <v>58700000</v>
      </c>
      <c r="N7" s="7" t="n">
        <v>52975000</v>
      </c>
      <c r="O7" s="7" t="n">
        <v>47250000</v>
      </c>
      <c r="P7" s="7" t="n">
        <v>41525000</v>
      </c>
      <c r="Q7" s="7" t="n">
        <v>35800000</v>
      </c>
      <c r="R7" s="7" t="n">
        <v>30075000</v>
      </c>
    </row>
    <row r="8">
      <c r="A8" s="8" t="inlineStr">
        <is>
          <t>LONG-TERM DEBT (TOTAL)</t>
        </is>
      </c>
      <c r="C8" s="7" t="n">
        <v>430912005</v>
      </c>
      <c r="D8" s="7" t="n">
        <v>500295320</v>
      </c>
      <c r="E8" s="7" t="n">
        <v>482887400</v>
      </c>
      <c r="F8" s="7" t="n">
        <v>465579470</v>
      </c>
      <c r="G8" s="7" t="n">
        <v>438701490</v>
      </c>
      <c r="H8" s="7" t="n">
        <v>411828460</v>
      </c>
      <c r="I8" s="7" t="n">
        <v>384510350</v>
      </c>
      <c r="J8" s="7" t="n">
        <v>357510000</v>
      </c>
      <c r="K8" s="7" t="n">
        <v>331790000</v>
      </c>
      <c r="L8" s="7" t="n">
        <v>306295000</v>
      </c>
      <c r="M8" s="7" t="n">
        <v>280575000</v>
      </c>
      <c r="N8" s="7" t="n">
        <v>254415000</v>
      </c>
      <c r="O8" s="7" t="n">
        <v>227935000</v>
      </c>
      <c r="P8" s="7" t="n">
        <v>200970000</v>
      </c>
      <c r="Q8" s="7" t="n">
        <v>173910000</v>
      </c>
      <c r="R8" s="7" t="n">
        <v>146385000</v>
      </c>
    </row>
    <row r="9">
      <c r="A9" s="8" t="inlineStr">
        <is>
          <t>NET PENSION LIABILITY (real schedule to $0 by FY2031)</t>
        </is>
      </c>
      <c r="C9" s="7" t="n">
        <v>173231820</v>
      </c>
      <c r="D9" s="7" t="n">
        <v>153723184</v>
      </c>
      <c r="E9" s="7" t="n">
        <v>130124564</v>
      </c>
      <c r="F9" s="7" t="n">
        <v>101929039</v>
      </c>
      <c r="G9" s="7" t="n">
        <v>68576803</v>
      </c>
      <c r="H9" s="7" t="n">
        <v>29450101</v>
      </c>
      <c r="I9" s="7" t="n">
        <v>0</v>
      </c>
      <c r="J9" s="7" t="n">
        <v>0</v>
      </c>
      <c r="K9" s="7" t="n">
        <v>0</v>
      </c>
      <c r="L9" s="7" t="n">
        <v>0</v>
      </c>
      <c r="M9" s="7" t="n">
        <v>0</v>
      </c>
      <c r="N9" s="7" t="n">
        <v>0</v>
      </c>
      <c r="O9" s="7" t="n">
        <v>0</v>
      </c>
      <c r="P9" s="7" t="n">
        <v>0</v>
      </c>
      <c r="Q9" s="7" t="n">
        <v>0</v>
      </c>
      <c r="R9" s="7" t="n">
        <v>0</v>
      </c>
    </row>
    <row r="10">
      <c r="A10" s="8" t="inlineStr">
        <is>
          <t>NET OPEB LIABILITY (held flat - placeholder, not a projection)</t>
        </is>
      </c>
      <c r="C10" s="7" t="n">
        <v>206087382</v>
      </c>
      <c r="D10" s="7" t="n">
        <v>211383878</v>
      </c>
      <c r="E10" s="7" t="n">
        <v>216675554</v>
      </c>
      <c r="F10" s="7" t="n">
        <v>221958371</v>
      </c>
      <c r="G10" s="7" t="n">
        <v>227227897</v>
      </c>
      <c r="H10" s="7" t="n">
        <v>232479279</v>
      </c>
      <c r="I10" s="7" t="n">
        <v>200894952</v>
      </c>
      <c r="J10" s="7" t="n">
        <v>166969237</v>
      </c>
      <c r="K10" s="7" t="n">
        <v>130534879</v>
      </c>
      <c r="L10" s="7" t="n">
        <v>91412855</v>
      </c>
      <c r="M10" s="7" t="n">
        <v>49411546</v>
      </c>
      <c r="N10" s="7" t="n">
        <v>4325865</v>
      </c>
      <c r="O10" s="7" t="n">
        <v>0</v>
      </c>
      <c r="P10" s="7" t="n">
        <v>0</v>
      </c>
      <c r="Q10" s="7" t="n">
        <v>0</v>
      </c>
      <c r="R10" s="7" t="n">
        <v>0</v>
      </c>
    </row>
    <row r="11">
      <c r="A11" s="6" t="inlineStr">
        <is>
          <t xml:space="preserve">  Compensated Absences</t>
        </is>
      </c>
      <c r="C11" s="7" t="n">
        <v>10528217</v>
      </c>
      <c r="D11" s="7" t="n">
        <v>10844064</v>
      </c>
      <c r="E11" s="7" t="n">
        <v>11169386</v>
      </c>
      <c r="F11" s="7" t="n">
        <v>11504467</v>
      </c>
      <c r="G11" s="7" t="n">
        <v>11849601</v>
      </c>
      <c r="H11" s="7" t="n">
        <v>12205089</v>
      </c>
      <c r="I11" s="7" t="n">
        <v>12571242</v>
      </c>
      <c r="J11" s="7" t="n">
        <v>12948379</v>
      </c>
      <c r="K11" s="7" t="n">
        <v>13336830</v>
      </c>
      <c r="L11" s="7" t="n">
        <v>13736935</v>
      </c>
      <c r="M11" s="7" t="n">
        <v>14149043</v>
      </c>
      <c r="N11" s="7" t="n">
        <v>14573515</v>
      </c>
      <c r="O11" s="7" t="n">
        <v>15010720</v>
      </c>
      <c r="P11" s="7" t="n">
        <v>15461042</v>
      </c>
      <c r="Q11" s="7" t="n">
        <v>15924873</v>
      </c>
      <c r="R11" s="7" t="n">
        <v>16402619</v>
      </c>
    </row>
    <row r="12">
      <c r="A12" s="6" t="inlineStr">
        <is>
          <t xml:space="preserve">  Workers' Compensation</t>
        </is>
      </c>
      <c r="C12" s="7" t="n">
        <v>2101200</v>
      </c>
      <c r="D12" s="7" t="n">
        <v>2164236</v>
      </c>
      <c r="E12" s="7" t="n">
        <v>2229163</v>
      </c>
      <c r="F12" s="7" t="n">
        <v>2296038</v>
      </c>
      <c r="G12" s="7" t="n">
        <v>2364919</v>
      </c>
      <c r="H12" s="7" t="n">
        <v>2435867</v>
      </c>
      <c r="I12" s="7" t="n">
        <v>2508943</v>
      </c>
      <c r="J12" s="7" t="n">
        <v>2584211</v>
      </c>
      <c r="K12" s="7" t="n">
        <v>2661737</v>
      </c>
      <c r="L12" s="7" t="n">
        <v>2741589</v>
      </c>
      <c r="M12" s="7" t="n">
        <v>2823837</v>
      </c>
      <c r="N12" s="7" t="n">
        <v>2908552</v>
      </c>
      <c r="O12" s="7" t="n">
        <v>2995809</v>
      </c>
      <c r="P12" s="7" t="n">
        <v>3085683</v>
      </c>
      <c r="Q12" s="7" t="n">
        <v>3178254</v>
      </c>
      <c r="R12" s="7" t="n">
        <v>3273601</v>
      </c>
    </row>
    <row r="13">
      <c r="A13" s="6" t="inlineStr">
        <is>
          <t xml:space="preserve">  Landfill Closure</t>
        </is>
      </c>
      <c r="C13" s="7" t="n">
        <v>600000</v>
      </c>
      <c r="D13" s="7" t="n">
        <v>600000</v>
      </c>
      <c r="E13" s="7" t="n">
        <v>600000</v>
      </c>
      <c r="F13" s="7" t="n">
        <v>600000</v>
      </c>
      <c r="G13" s="7" t="n">
        <v>600000</v>
      </c>
      <c r="H13" s="7" t="n">
        <v>600000</v>
      </c>
      <c r="I13" s="7" t="n">
        <v>600000</v>
      </c>
      <c r="J13" s="7" t="n">
        <v>600000</v>
      </c>
      <c r="K13" s="7" t="n">
        <v>600000</v>
      </c>
      <c r="L13" s="7" t="n">
        <v>600000</v>
      </c>
      <c r="M13" s="7" t="n">
        <v>600000</v>
      </c>
      <c r="N13" s="7" t="n">
        <v>600000</v>
      </c>
      <c r="O13" s="7" t="n">
        <v>600000</v>
      </c>
      <c r="P13" s="7" t="n">
        <v>600000</v>
      </c>
      <c r="Q13" s="7" t="n">
        <v>600000</v>
      </c>
      <c r="R13" s="7" t="n">
        <v>600000</v>
      </c>
    </row>
    <row r="14">
      <c r="A14" s="6" t="inlineStr">
        <is>
          <t xml:space="preserve">  Unearned Revenue</t>
        </is>
      </c>
      <c r="C14" s="7" t="n">
        <v>12361792</v>
      </c>
      <c r="D14" s="7" t="n">
        <v>12361792</v>
      </c>
      <c r="E14" s="7" t="n">
        <v>12361792</v>
      </c>
      <c r="F14" s="7" t="n">
        <v>12361792</v>
      </c>
      <c r="G14" s="7" t="n">
        <v>12361792</v>
      </c>
      <c r="H14" s="7" t="n">
        <v>12361792</v>
      </c>
      <c r="I14" s="7" t="n">
        <v>12361792</v>
      </c>
      <c r="J14" s="7" t="n">
        <v>12361792</v>
      </c>
      <c r="K14" s="7" t="n">
        <v>12361792</v>
      </c>
      <c r="L14" s="7" t="n">
        <v>12361792</v>
      </c>
      <c r="M14" s="7" t="n">
        <v>12361792</v>
      </c>
      <c r="N14" s="7" t="n">
        <v>12361792</v>
      </c>
      <c r="O14" s="7" t="n">
        <v>12361792</v>
      </c>
      <c r="P14" s="7" t="n">
        <v>12361792</v>
      </c>
      <c r="Q14" s="7" t="n">
        <v>12361792</v>
      </c>
      <c r="R14" s="7" t="n">
        <v>12361792</v>
      </c>
    </row>
    <row r="15">
      <c r="A15" s="6" t="inlineStr">
        <is>
          <t xml:space="preserve">  Other (warrants, accrued payroll, tax refunds, accrued interest)</t>
        </is>
      </c>
      <c r="C15" s="7" t="n">
        <v>23884073</v>
      </c>
      <c r="D15" s="7" t="n">
        <v>23884073</v>
      </c>
      <c r="E15" s="7" t="n">
        <v>23884073</v>
      </c>
      <c r="F15" s="7" t="n">
        <v>23884073</v>
      </c>
      <c r="G15" s="7" t="n">
        <v>23884073</v>
      </c>
      <c r="H15" s="7" t="n">
        <v>23884073</v>
      </c>
      <c r="I15" s="7" t="n">
        <v>23884073</v>
      </c>
      <c r="J15" s="7" t="n">
        <v>23884073</v>
      </c>
      <c r="K15" s="7" t="n">
        <v>23884073</v>
      </c>
      <c r="L15" s="7" t="n">
        <v>23884073</v>
      </c>
      <c r="M15" s="7" t="n">
        <v>23884073</v>
      </c>
      <c r="N15" s="7" t="n">
        <v>23884073</v>
      </c>
      <c r="O15" s="7" t="n">
        <v>23884073</v>
      </c>
      <c r="P15" s="7" t="n">
        <v>23884073</v>
      </c>
      <c r="Q15" s="7" t="n">
        <v>23884073</v>
      </c>
      <c r="R15" s="7" t="n">
        <v>23884073</v>
      </c>
    </row>
    <row r="16">
      <c r="A16" s="8" t="inlineStr">
        <is>
          <t>TOTAL LIABILITIES</t>
        </is>
      </c>
      <c r="C16" s="7" t="n">
        <v>859706489</v>
      </c>
      <c r="D16" s="7" t="n">
        <v>915256547</v>
      </c>
      <c r="E16" s="7" t="n">
        <v>879931932</v>
      </c>
      <c r="F16" s="7" t="n">
        <v>840113250</v>
      </c>
      <c r="G16" s="7" t="n">
        <v>785566575</v>
      </c>
      <c r="H16" s="7" t="n">
        <v>725244661</v>
      </c>
      <c r="I16" s="7" t="n">
        <v>637331352</v>
      </c>
      <c r="J16" s="7" t="n">
        <v>576857692</v>
      </c>
      <c r="K16" s="7" t="n">
        <v>515169311</v>
      </c>
      <c r="L16" s="7" t="n">
        <v>451032244</v>
      </c>
      <c r="M16" s="7" t="n">
        <v>383805291</v>
      </c>
      <c r="N16" s="7" t="n">
        <v>313068797</v>
      </c>
      <c r="O16" s="7" t="n">
        <v>282787394</v>
      </c>
      <c r="P16" s="7" t="n">
        <v>256362590</v>
      </c>
      <c r="Q16" s="7" t="n">
        <v>229858992</v>
      </c>
      <c r="R16" s="7" t="n">
        <v>202907085</v>
      </c>
    </row>
  </sheetData>
  <mergeCells count="2">
    <mergeCell ref="A3:Q3"/>
    <mergeCell ref="A1:W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W30"/>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52"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Part 4a — Base Case Decomposition (trend_corrected), FY2026-2040</t>
        </is>
      </c>
    </row>
    <row r="2"/>
    <row r="3" ht="98" customHeight="1">
      <c r="A3" s="2" t="inlineStr">
        <is>
          <t>Why the base case's ~+$28M FY2040 'surplus' is not a surplus: the May 2026 operating override is already inside it, and by FY2040 it is worth substantially more than the $23,254,439 voters approved, because an override permanently enlarges the levy base that then compounds. Removing it exposes the structural position - a gap reaching -$9.5M by FY2029, closed by the override on schedule, then slowly reopening to about -$8.8M (-1.3% of revenue) by FY2040. That structural figure, not the headline surplus, is what Part 4c's levers are sized against, because the override is a decided fact rather than a lever still available to pull. Generated by scripts/base_case_decomposition.py, which re-runs the real revenue and surplus models under each counterfactual and verifies its control run against the committed baseline to the dollar before reporting anything. NOTE: this tab describes only what the override DOES - it is not a comment on whether it was the right size. See base_case_decomposition_fy26_40_methodology.md.</t>
        </is>
      </c>
    </row>
    <row r="4"/>
    <row r="5">
      <c r="A5" s="4" t="inlineStr">
        <is>
          <t>Line item</t>
        </is>
      </c>
      <c r="C5" s="5" t="inlineStr">
        <is>
          <t>FY2026</t>
        </is>
      </c>
      <c r="D5" s="5" t="inlineStr">
        <is>
          <t>FY2027</t>
        </is>
      </c>
      <c r="E5" s="5" t="inlineStr">
        <is>
          <t>FY2028</t>
        </is>
      </c>
      <c r="F5" s="5" t="inlineStr">
        <is>
          <t>FY2029</t>
        </is>
      </c>
      <c r="G5" s="5" t="inlineStr">
        <is>
          <t>FY2030</t>
        </is>
      </c>
      <c r="H5" s="5" t="inlineStr">
        <is>
          <t>FY2031</t>
        </is>
      </c>
      <c r="I5" s="5" t="inlineStr">
        <is>
          <t>FY2032</t>
        </is>
      </c>
      <c r="J5" s="5" t="inlineStr">
        <is>
          <t>FY2033</t>
        </is>
      </c>
      <c r="K5" s="5" t="inlineStr">
        <is>
          <t>FY2034</t>
        </is>
      </c>
      <c r="L5" s="5" t="inlineStr">
        <is>
          <t>FY2035</t>
        </is>
      </c>
      <c r="M5" s="5" t="inlineStr">
        <is>
          <t>FY2036</t>
        </is>
      </c>
      <c r="N5" s="5" t="inlineStr">
        <is>
          <t>FY2037</t>
        </is>
      </c>
      <c r="O5" s="5" t="inlineStr">
        <is>
          <t>FY2038</t>
        </is>
      </c>
      <c r="P5" s="5" t="inlineStr">
        <is>
          <t>FY2039</t>
        </is>
      </c>
      <c r="Q5" s="5" t="inlineStr">
        <is>
          <t>FY2040</t>
        </is>
      </c>
    </row>
    <row r="6">
      <c r="A6" s="3" t="inlineStr">
        <is>
          <t>As legislated — override included (the committed baseline)</t>
        </is>
      </c>
    </row>
    <row r="7">
      <c r="A7" s="6" t="inlineStr">
        <is>
          <t xml:space="preserve">  Operating revenue</t>
        </is>
      </c>
      <c r="C7" s="7" t="n">
        <v>392290548</v>
      </c>
      <c r="D7" s="7" t="n">
        <v>417991579</v>
      </c>
      <c r="E7" s="7" t="n">
        <v>438339421</v>
      </c>
      <c r="F7" s="7" t="n">
        <v>462139860</v>
      </c>
      <c r="G7" s="7" t="n">
        <v>480584124</v>
      </c>
      <c r="H7" s="7" t="n">
        <v>496390298</v>
      </c>
      <c r="I7" s="7" t="n">
        <v>516142260</v>
      </c>
      <c r="J7" s="7" t="n">
        <v>536376610</v>
      </c>
      <c r="K7" s="7" t="n">
        <v>557549287</v>
      </c>
      <c r="L7" s="7" t="n">
        <v>578298125</v>
      </c>
      <c r="M7" s="7" t="n">
        <v>599814027</v>
      </c>
      <c r="N7" s="7" t="n">
        <v>622068326</v>
      </c>
      <c r="O7" s="7" t="n">
        <v>645154570</v>
      </c>
      <c r="P7" s="7" t="n">
        <v>669107495</v>
      </c>
      <c r="Q7" s="7" t="n">
        <v>693961804</v>
      </c>
    </row>
    <row r="8">
      <c r="A8" s="6" t="inlineStr">
        <is>
          <t xml:space="preserve">  Operating expenditure</t>
        </is>
      </c>
      <c r="C8" s="7" t="n">
        <v>401322368</v>
      </c>
      <c r="D8" s="7" t="n">
        <v>418349617</v>
      </c>
      <c r="E8" s="7" t="n">
        <v>437302686</v>
      </c>
      <c r="F8" s="7" t="n">
        <v>459212198</v>
      </c>
      <c r="G8" s="7" t="n">
        <v>462002236</v>
      </c>
      <c r="H8" s="7" t="n">
        <v>485532861</v>
      </c>
      <c r="I8" s="7" t="n">
        <v>502666785</v>
      </c>
      <c r="J8" s="7" t="n">
        <v>521720886</v>
      </c>
      <c r="K8" s="7" t="n">
        <v>540421915</v>
      </c>
      <c r="L8" s="7" t="n">
        <v>559981748</v>
      </c>
      <c r="M8" s="7" t="n">
        <v>580336726</v>
      </c>
      <c r="N8" s="7" t="n">
        <v>601634507</v>
      </c>
      <c r="O8" s="7" t="n">
        <v>623924788</v>
      </c>
      <c r="P8" s="7" t="n">
        <v>647258394</v>
      </c>
      <c r="Q8" s="7" t="n">
        <v>671688955</v>
      </c>
    </row>
    <row r="9">
      <c r="A9" s="8" t="inlineStr">
        <is>
          <t xml:space="preserve">  OPERATING SURPLUS / (DEFICIT)</t>
        </is>
      </c>
      <c r="C9" s="7">
        <f>C7-C8</f>
        <v/>
      </c>
      <c r="D9" s="7">
        <f>D7-D8</f>
        <v/>
      </c>
      <c r="E9" s="7">
        <f>E7-E8</f>
        <v/>
      </c>
      <c r="F9" s="7">
        <f>F7-F8</f>
        <v/>
      </c>
      <c r="G9" s="7">
        <f>G7-G8</f>
        <v/>
      </c>
      <c r="H9" s="7">
        <f>H7-H8</f>
        <v/>
      </c>
      <c r="I9" s="7">
        <f>I7-I8</f>
        <v/>
      </c>
      <c r="J9" s="7">
        <f>J7-J8</f>
        <v/>
      </c>
      <c r="K9" s="7">
        <f>K7-K8</f>
        <v/>
      </c>
      <c r="L9" s="7">
        <f>L7-L8</f>
        <v/>
      </c>
      <c r="M9" s="7">
        <f>M7-M8</f>
        <v/>
      </c>
      <c r="N9" s="7">
        <f>N7-N8</f>
        <v/>
      </c>
      <c r="O9" s="7">
        <f>O7-O8</f>
        <v/>
      </c>
      <c r="P9" s="7">
        <f>P7-P8</f>
        <v/>
      </c>
      <c r="Q9" s="7">
        <f>Q7-Q8</f>
        <v/>
      </c>
    </row>
    <row r="10">
      <c r="A10" s="9" t="inlineStr">
        <is>
          <t xml:space="preserve">    as % of operating revenue</t>
        </is>
      </c>
      <c r="C10" s="11">
        <f>C9/C7</f>
        <v/>
      </c>
      <c r="D10" s="11">
        <f>D9/D7</f>
        <v/>
      </c>
      <c r="E10" s="11">
        <f>E9/E7</f>
        <v/>
      </c>
      <c r="F10" s="11">
        <f>F9/F7</f>
        <v/>
      </c>
      <c r="G10" s="11">
        <f>G9/G7</f>
        <v/>
      </c>
      <c r="H10" s="11">
        <f>H9/H7</f>
        <v/>
      </c>
      <c r="I10" s="11">
        <f>I9/I7</f>
        <v/>
      </c>
      <c r="J10" s="11">
        <f>J9/J7</f>
        <v/>
      </c>
      <c r="K10" s="11">
        <f>K9/K7</f>
        <v/>
      </c>
      <c r="L10" s="11">
        <f>L9/L7</f>
        <v/>
      </c>
      <c r="M10" s="11">
        <f>M9/M7</f>
        <v/>
      </c>
      <c r="N10" s="11">
        <f>N9/N7</f>
        <v/>
      </c>
      <c r="O10" s="11">
        <f>O9/O7</f>
        <v/>
      </c>
      <c r="P10" s="11">
        <f>P9/P7</f>
        <v/>
      </c>
      <c r="Q10" s="11">
        <f>Q9/Q7</f>
        <v/>
      </c>
    </row>
    <row r="11">
      <c r="A11" s="9" t="inlineStr">
        <is>
          <t xml:space="preserve">  Check vs. Python model (should be ~$0)</t>
        </is>
      </c>
      <c r="C11" s="7">
        <f>C9--9031820.0</f>
        <v/>
      </c>
      <c r="D11" s="7">
        <f>D9--358038.0</f>
        <v/>
      </c>
      <c r="E11" s="7">
        <f>E9-1036735.0</f>
        <v/>
      </c>
      <c r="F11" s="7">
        <f>F9-2927662.0</f>
        <v/>
      </c>
      <c r="G11" s="7">
        <f>G9-18581888.0</f>
        <v/>
      </c>
      <c r="H11" s="7">
        <f>H9-10857437.0</f>
        <v/>
      </c>
      <c r="I11" s="7">
        <f>I9-13475475.0</f>
        <v/>
      </c>
      <c r="J11" s="7">
        <f>J9-14655724.0</f>
        <v/>
      </c>
      <c r="K11" s="7">
        <f>K9-17127372.0</f>
        <v/>
      </c>
      <c r="L11" s="7">
        <f>L9-18316377.0</f>
        <v/>
      </c>
      <c r="M11" s="7">
        <f>M9-19477301.0</f>
        <v/>
      </c>
      <c r="N11" s="7">
        <f>N9-20433819.0</f>
        <v/>
      </c>
      <c r="O11" s="7">
        <f>O9-21229782.0</f>
        <v/>
      </c>
      <c r="P11" s="7">
        <f>P9-21849101.0</f>
        <v/>
      </c>
      <c r="Q11" s="7">
        <f>Q9-22272849.0</f>
        <v/>
      </c>
    </row>
    <row r="12"/>
    <row r="13">
      <c r="A13" s="3" t="inlineStr">
        <is>
          <t>Ex-override — the structural position</t>
        </is>
      </c>
    </row>
    <row r="14">
      <c r="A14" s="6" t="inlineStr">
        <is>
          <t xml:space="preserve">  Operating revenue</t>
        </is>
      </c>
      <c r="C14" s="7" t="n">
        <v>392290548</v>
      </c>
      <c r="D14" s="7" t="n">
        <v>408139249</v>
      </c>
      <c r="E14" s="7" t="n">
        <v>422358396</v>
      </c>
      <c r="F14" s="7" t="n">
        <v>437383177</v>
      </c>
      <c r="G14" s="7" t="n">
        <v>454562190</v>
      </c>
      <c r="H14" s="7" t="n">
        <v>469132195</v>
      </c>
      <c r="I14" s="7" t="n">
        <v>487795778</v>
      </c>
      <c r="J14" s="7" t="n">
        <v>506948894</v>
      </c>
      <c r="K14" s="7" t="n">
        <v>527000517</v>
      </c>
      <c r="L14" s="7" t="n">
        <v>546590168</v>
      </c>
      <c r="M14" s="7" t="n">
        <v>566902900</v>
      </c>
      <c r="N14" s="7" t="n">
        <v>587908468</v>
      </c>
      <c r="O14" s="7" t="n">
        <v>609698559</v>
      </c>
      <c r="P14" s="7" t="n">
        <v>632306109</v>
      </c>
      <c r="Q14" s="7" t="n">
        <v>655763945</v>
      </c>
    </row>
    <row r="15">
      <c r="A15" s="9" t="inlineStr">
        <is>
          <t xml:space="preserve">  Operating expenditure</t>
        </is>
      </c>
      <c r="C15" s="7">
        <f>C8</f>
        <v/>
      </c>
      <c r="D15" s="7">
        <f>D8</f>
        <v/>
      </c>
      <c r="E15" s="7">
        <f>E8</f>
        <v/>
      </c>
      <c r="F15" s="7">
        <f>F8</f>
        <v/>
      </c>
      <c r="G15" s="7">
        <f>G8</f>
        <v/>
      </c>
      <c r="H15" s="7">
        <f>H8</f>
        <v/>
      </c>
      <c r="I15" s="7">
        <f>I8</f>
        <v/>
      </c>
      <c r="J15" s="7">
        <f>J8</f>
        <v/>
      </c>
      <c r="K15" s="7">
        <f>K8</f>
        <v/>
      </c>
      <c r="L15" s="7">
        <f>L8</f>
        <v/>
      </c>
      <c r="M15" s="7">
        <f>M8</f>
        <v/>
      </c>
      <c r="N15" s="7">
        <f>N8</f>
        <v/>
      </c>
      <c r="O15" s="7">
        <f>O8</f>
        <v/>
      </c>
      <c r="P15" s="7">
        <f>P8</f>
        <v/>
      </c>
      <c r="Q15" s="7">
        <f>Q8</f>
        <v/>
      </c>
    </row>
    <row r="16">
      <c r="A16" s="8" t="inlineStr">
        <is>
          <t xml:space="preserve">  OPERATING SURPLUS / (DEFICIT)</t>
        </is>
      </c>
      <c r="C16" s="7">
        <f>C14-C15</f>
        <v/>
      </c>
      <c r="D16" s="7">
        <f>D14-D15</f>
        <v/>
      </c>
      <c r="E16" s="7">
        <f>E14-E15</f>
        <v/>
      </c>
      <c r="F16" s="7">
        <f>F14-F15</f>
        <v/>
      </c>
      <c r="G16" s="7">
        <f>G14-G15</f>
        <v/>
      </c>
      <c r="H16" s="7">
        <f>H14-H15</f>
        <v/>
      </c>
      <c r="I16" s="7">
        <f>I14-I15</f>
        <v/>
      </c>
      <c r="J16" s="7">
        <f>J14-J15</f>
        <v/>
      </c>
      <c r="K16" s="7">
        <f>K14-K15</f>
        <v/>
      </c>
      <c r="L16" s="7">
        <f>L14-L15</f>
        <v/>
      </c>
      <c r="M16" s="7">
        <f>M14-M15</f>
        <v/>
      </c>
      <c r="N16" s="7">
        <f>N14-N15</f>
        <v/>
      </c>
      <c r="O16" s="7">
        <f>O14-O15</f>
        <v/>
      </c>
      <c r="P16" s="7">
        <f>P14-P15</f>
        <v/>
      </c>
      <c r="Q16" s="7">
        <f>Q14-Q15</f>
        <v/>
      </c>
    </row>
    <row r="17">
      <c r="A17" s="9" t="inlineStr">
        <is>
          <t xml:space="preserve">    as % of operating revenue</t>
        </is>
      </c>
      <c r="C17" s="11">
        <f>C16/C14</f>
        <v/>
      </c>
      <c r="D17" s="11">
        <f>D16/D14</f>
        <v/>
      </c>
      <c r="E17" s="11">
        <f>E16/E14</f>
        <v/>
      </c>
      <c r="F17" s="11">
        <f>F16/F14</f>
        <v/>
      </c>
      <c r="G17" s="11">
        <f>G16/G14</f>
        <v/>
      </c>
      <c r="H17" s="11">
        <f>H16/H14</f>
        <v/>
      </c>
      <c r="I17" s="11">
        <f>I16/I14</f>
        <v/>
      </c>
      <c r="J17" s="11">
        <f>J16/J14</f>
        <v/>
      </c>
      <c r="K17" s="11">
        <f>K16/K14</f>
        <v/>
      </c>
      <c r="L17" s="11">
        <f>L16/L14</f>
        <v/>
      </c>
      <c r="M17" s="11">
        <f>M16/M14</f>
        <v/>
      </c>
      <c r="N17" s="11">
        <f>N16/N14</f>
        <v/>
      </c>
      <c r="O17" s="11">
        <f>O16/O14</f>
        <v/>
      </c>
      <c r="P17" s="11">
        <f>P16/P14</f>
        <v/>
      </c>
      <c r="Q17" s="11">
        <f>Q16/Q14</f>
        <v/>
      </c>
    </row>
    <row r="18">
      <c r="A18" s="9" t="inlineStr">
        <is>
          <t xml:space="preserve">  Check vs. Python model (should be ~$0)</t>
        </is>
      </c>
      <c r="C18" s="7">
        <f>C16--9031820.0</f>
        <v/>
      </c>
      <c r="D18" s="7">
        <f>D16--10210368.0</f>
        <v/>
      </c>
      <c r="E18" s="7">
        <f>E16--14944290.0</f>
        <v/>
      </c>
      <c r="F18" s="7">
        <f>F16--21829021.0</f>
        <v/>
      </c>
      <c r="G18" s="7">
        <f>G16--7440046.0</f>
        <v/>
      </c>
      <c r="H18" s="7">
        <f>H16--16400666.0</f>
        <v/>
      </c>
      <c r="I18" s="7">
        <f>I16--14871007.0</f>
        <v/>
      </c>
      <c r="J18" s="7">
        <f>J16--14771992.0</f>
        <v/>
      </c>
      <c r="K18" s="7">
        <f>K16--13421398.0</f>
        <v/>
      </c>
      <c r="L18" s="7">
        <f>L16--13391580.0</f>
        <v/>
      </c>
      <c r="M18" s="7">
        <f>M16--13433826.0</f>
        <v/>
      </c>
      <c r="N18" s="7">
        <f>N16--13726039.0</f>
        <v/>
      </c>
      <c r="O18" s="7">
        <f>O16--14226229.0</f>
        <v/>
      </c>
      <c r="P18" s="7">
        <f>P16--14952285.0</f>
        <v/>
      </c>
      <c r="Q18" s="7">
        <f>Q16--15925010.0</f>
        <v/>
      </c>
    </row>
    <row r="19"/>
    <row r="20">
      <c r="A20" s="3" t="inlineStr">
        <is>
          <t>Ex-override, new growth at the FY2040 break-even rate</t>
        </is>
      </c>
    </row>
    <row r="21">
      <c r="A21" s="6" t="inlineStr">
        <is>
          <t xml:space="preserve">  Operating revenue</t>
        </is>
      </c>
      <c r="C21" s="7" t="n">
        <v>393444637</v>
      </c>
      <c r="D21" s="7" t="n">
        <v>409253913</v>
      </c>
      <c r="E21" s="7" t="n">
        <v>425003714</v>
      </c>
      <c r="F21" s="7" t="n">
        <v>441290001</v>
      </c>
      <c r="G21" s="7" t="n">
        <v>458662047</v>
      </c>
      <c r="H21" s="7" t="n">
        <v>474025814</v>
      </c>
      <c r="I21" s="7" t="n">
        <v>493658405</v>
      </c>
      <c r="J21" s="7" t="n">
        <v>513791547</v>
      </c>
      <c r="K21" s="7" t="n">
        <v>534922539</v>
      </c>
      <c r="L21" s="7" t="n">
        <v>555643674</v>
      </c>
      <c r="M21" s="7" t="n">
        <v>577162349</v>
      </c>
      <c r="N21" s="7" t="n">
        <v>599453414</v>
      </c>
      <c r="O21" s="7" t="n">
        <v>622612780</v>
      </c>
      <c r="P21" s="7" t="n">
        <v>646678729</v>
      </c>
      <c r="Q21" s="7" t="n">
        <v>671688955</v>
      </c>
    </row>
    <row r="22">
      <c r="A22" s="9" t="inlineStr">
        <is>
          <t xml:space="preserve">  Operating expenditure</t>
        </is>
      </c>
      <c r="C22" s="7">
        <f>C8</f>
        <v/>
      </c>
      <c r="D22" s="7">
        <f>D8</f>
        <v/>
      </c>
      <c r="E22" s="7">
        <f>E8</f>
        <v/>
      </c>
      <c r="F22" s="7">
        <f>F8</f>
        <v/>
      </c>
      <c r="G22" s="7">
        <f>G8</f>
        <v/>
      </c>
      <c r="H22" s="7">
        <f>H8</f>
        <v/>
      </c>
      <c r="I22" s="7">
        <f>I8</f>
        <v/>
      </c>
      <c r="J22" s="7">
        <f>J8</f>
        <v/>
      </c>
      <c r="K22" s="7">
        <f>K8</f>
        <v/>
      </c>
      <c r="L22" s="7">
        <f>L8</f>
        <v/>
      </c>
      <c r="M22" s="7">
        <f>M8</f>
        <v/>
      </c>
      <c r="N22" s="7">
        <f>N8</f>
        <v/>
      </c>
      <c r="O22" s="7">
        <f>O8</f>
        <v/>
      </c>
      <c r="P22" s="7">
        <f>P8</f>
        <v/>
      </c>
      <c r="Q22" s="7">
        <f>Q8</f>
        <v/>
      </c>
    </row>
    <row r="23">
      <c r="A23" s="8" t="inlineStr">
        <is>
          <t xml:space="preserve">  OPERATING SURPLUS / (DEFICIT)</t>
        </is>
      </c>
      <c r="C23" s="7">
        <f>C21-C22</f>
        <v/>
      </c>
      <c r="D23" s="7">
        <f>D21-D22</f>
        <v/>
      </c>
      <c r="E23" s="7">
        <f>E21-E22</f>
        <v/>
      </c>
      <c r="F23" s="7">
        <f>F21-F22</f>
        <v/>
      </c>
      <c r="G23" s="7">
        <f>G21-G22</f>
        <v/>
      </c>
      <c r="H23" s="7">
        <f>H21-H22</f>
        <v/>
      </c>
      <c r="I23" s="7">
        <f>I21-I22</f>
        <v/>
      </c>
      <c r="J23" s="7">
        <f>J21-J22</f>
        <v/>
      </c>
      <c r="K23" s="7">
        <f>K21-K22</f>
        <v/>
      </c>
      <c r="L23" s="7">
        <f>L21-L22</f>
        <v/>
      </c>
      <c r="M23" s="7">
        <f>M21-M22</f>
        <v/>
      </c>
      <c r="N23" s="7">
        <f>N21-N22</f>
        <v/>
      </c>
      <c r="O23" s="7">
        <f>O21-O22</f>
        <v/>
      </c>
      <c r="P23" s="7">
        <f>P21-P22</f>
        <v/>
      </c>
      <c r="Q23" s="7">
        <f>Q21-Q22</f>
        <v/>
      </c>
    </row>
    <row r="24">
      <c r="A24" s="9" t="inlineStr">
        <is>
          <t xml:space="preserve">    as % of operating revenue</t>
        </is>
      </c>
      <c r="C24" s="11">
        <f>C23/C21</f>
        <v/>
      </c>
      <c r="D24" s="11">
        <f>D23/D21</f>
        <v/>
      </c>
      <c r="E24" s="11">
        <f>E23/E21</f>
        <v/>
      </c>
      <c r="F24" s="11">
        <f>F23/F21</f>
        <v/>
      </c>
      <c r="G24" s="11">
        <f>G23/G21</f>
        <v/>
      </c>
      <c r="H24" s="11">
        <f>H23/H21</f>
        <v/>
      </c>
      <c r="I24" s="11">
        <f>I23/I21</f>
        <v/>
      </c>
      <c r="J24" s="11">
        <f>J23/J21</f>
        <v/>
      </c>
      <c r="K24" s="11">
        <f>K23/K21</f>
        <v/>
      </c>
      <c r="L24" s="11">
        <f>L23/L21</f>
        <v/>
      </c>
      <c r="M24" s="11">
        <f>M23/M21</f>
        <v/>
      </c>
      <c r="N24" s="11">
        <f>N23/N21</f>
        <v/>
      </c>
      <c r="O24" s="11">
        <f>O23/O21</f>
        <v/>
      </c>
      <c r="P24" s="11">
        <f>P23/P21</f>
        <v/>
      </c>
      <c r="Q24" s="11">
        <f>Q23/Q21</f>
        <v/>
      </c>
    </row>
    <row r="25">
      <c r="A25" s="9" t="inlineStr">
        <is>
          <t xml:space="preserve">  Check vs. Python model (should be ~$0)</t>
        </is>
      </c>
      <c r="C25" s="7">
        <f>C23--7877731.0</f>
        <v/>
      </c>
      <c r="D25" s="7">
        <f>D23--9095704.0</f>
        <v/>
      </c>
      <c r="E25" s="7">
        <f>E23--12298972.0</f>
        <v/>
      </c>
      <c r="F25" s="7">
        <f>F23--17922197.0</f>
        <v/>
      </c>
      <c r="G25" s="7">
        <f>G23--3340189.0</f>
        <v/>
      </c>
      <c r="H25" s="7">
        <f>H23--11507047.0</f>
        <v/>
      </c>
      <c r="I25" s="7">
        <f>I23--9008380.0</f>
        <v/>
      </c>
      <c r="J25" s="7">
        <f>J23--7929339.0</f>
        <v/>
      </c>
      <c r="K25" s="7">
        <f>K23--5499376.0</f>
        <v/>
      </c>
      <c r="L25" s="7">
        <f>L23--4338074.0</f>
        <v/>
      </c>
      <c r="M25" s="7">
        <f>M23--3174377.0</f>
        <v/>
      </c>
      <c r="N25" s="7">
        <f>N23--2181093.0</f>
        <v/>
      </c>
      <c r="O25" s="7">
        <f>O23--1312008.0</f>
        <v/>
      </c>
      <c r="P25" s="7">
        <f>P23--579665.0</f>
        <v/>
      </c>
      <c r="Q25" s="7">
        <f>Q23-0.0</f>
        <v/>
      </c>
    </row>
    <row r="26"/>
    <row r="27">
      <c r="A27" s="3" t="inlineStr">
        <is>
          <t>What the May 2026 override is worth</t>
        </is>
      </c>
    </row>
    <row r="28">
      <c r="A28" s="8" t="inlineStr">
        <is>
          <t>Override's annual value (= as-legislated revenue − ex-override revenue)</t>
        </is>
      </c>
      <c r="C28" s="7">
        <f>C7-C14</f>
        <v/>
      </c>
      <c r="D28" s="7">
        <f>D7-D14</f>
        <v/>
      </c>
      <c r="E28" s="7">
        <f>E7-E14</f>
        <v/>
      </c>
      <c r="F28" s="7">
        <f>F7-F14</f>
        <v/>
      </c>
      <c r="G28" s="7">
        <f>G7-G14</f>
        <v/>
      </c>
      <c r="H28" s="7">
        <f>H7-H14</f>
        <v/>
      </c>
      <c r="I28" s="7">
        <f>I7-I14</f>
        <v/>
      </c>
      <c r="J28" s="7">
        <f>J7-J14</f>
        <v/>
      </c>
      <c r="K28" s="7">
        <f>K7-K14</f>
        <v/>
      </c>
      <c r="L28" s="7">
        <f>L7-L14</f>
        <v/>
      </c>
      <c r="M28" s="7">
        <f>M7-M14</f>
        <v/>
      </c>
      <c r="N28" s="7">
        <f>N7-N14</f>
        <v/>
      </c>
      <c r="O28" s="7">
        <f>O7-O14</f>
        <v/>
      </c>
      <c r="P28" s="7">
        <f>P7-P14</f>
        <v/>
      </c>
      <c r="Q28" s="7">
        <f>Q7-Q14</f>
        <v/>
      </c>
    </row>
    <row r="29">
      <c r="A29" s="6" t="inlineStr">
        <is>
          <t xml:space="preserve">  Memo: amount voters approved, FY2027-2029 total</t>
        </is>
      </c>
      <c r="C29" s="7" t="n">
        <v>23254439</v>
      </c>
      <c r="D29" s="7" t="n">
        <v>23254439</v>
      </c>
      <c r="E29" s="7" t="n">
        <v>23254439</v>
      </c>
      <c r="F29" s="7" t="n">
        <v>23254439</v>
      </c>
      <c r="G29" s="7" t="n">
        <v>23254439</v>
      </c>
      <c r="H29" s="7" t="n">
        <v>23254439</v>
      </c>
      <c r="I29" s="7" t="n">
        <v>23254439</v>
      </c>
      <c r="J29" s="7" t="n">
        <v>23254439</v>
      </c>
      <c r="K29" s="7" t="n">
        <v>23254439</v>
      </c>
      <c r="L29" s="7" t="n">
        <v>23254439</v>
      </c>
      <c r="M29" s="7" t="n">
        <v>23254439</v>
      </c>
      <c r="N29" s="7" t="n">
        <v>23254439</v>
      </c>
      <c r="O29" s="7" t="n">
        <v>23254439</v>
      </c>
      <c r="P29" s="7" t="n">
        <v>23254439</v>
      </c>
      <c r="Q29" s="7" t="n">
        <v>23254439</v>
      </c>
    </row>
    <row r="30">
      <c r="A30" s="9" t="inlineStr">
        <is>
          <t xml:space="preserve">  Ratio to the approved amount</t>
        </is>
      </c>
      <c r="C30" s="23">
        <f>C28/C29</f>
        <v/>
      </c>
      <c r="D30" s="23">
        <f>D28/D29</f>
        <v/>
      </c>
      <c r="E30" s="23">
        <f>E28/E29</f>
        <v/>
      </c>
      <c r="F30" s="23">
        <f>F28/F29</f>
        <v/>
      </c>
      <c r="G30" s="23">
        <f>G28/G29</f>
        <v/>
      </c>
      <c r="H30" s="23">
        <f>H28/H29</f>
        <v/>
      </c>
      <c r="I30" s="23">
        <f>I28/I29</f>
        <v/>
      </c>
      <c r="J30" s="23">
        <f>J28/J29</f>
        <v/>
      </c>
      <c r="K30" s="23">
        <f>K28/K29</f>
        <v/>
      </c>
      <c r="L30" s="23">
        <f>L28/L29</f>
        <v/>
      </c>
      <c r="M30" s="23">
        <f>M28/M29</f>
        <v/>
      </c>
      <c r="N30" s="23">
        <f>N28/N29</f>
        <v/>
      </c>
      <c r="O30" s="23">
        <f>O28/O29</f>
        <v/>
      </c>
      <c r="P30" s="23">
        <f>P28/P29</f>
        <v/>
      </c>
      <c r="Q30" s="23">
        <f>Q28/Q29</f>
        <v/>
      </c>
    </row>
  </sheetData>
  <mergeCells count="2">
    <mergeCell ref="A3:Q3"/>
    <mergeCell ref="A1:W1"/>
  </mergeCells>
  <conditionalFormatting sqref="C11:W11">
    <cfRule type="cellIs" priority="1" operator="greaterThan" dxfId="0">
      <formula>6</formula>
    </cfRule>
    <cfRule type="cellIs" priority="2" operator="lessThan" dxfId="0">
      <formula>-6</formula>
    </cfRule>
  </conditionalFormatting>
  <conditionalFormatting sqref="C18:W18">
    <cfRule type="cellIs" priority="3" operator="greaterThan" dxfId="0">
      <formula>6</formula>
    </cfRule>
    <cfRule type="cellIs" priority="4" operator="lessThan" dxfId="0">
      <formula>-6</formula>
    </cfRule>
  </conditionalFormatting>
  <conditionalFormatting sqref="C25:W25">
    <cfRule type="cellIs" priority="5" operator="greaterThan" dxfId="0">
      <formula>6</formula>
    </cfRule>
    <cfRule type="cellIs" priority="6" operator="lessThan" dxfId="0">
      <formula>-6</formula>
    </cfRule>
  </conditionalFormatting>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W12"/>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outlineLevelCol="0"/>
  <cols>
    <col width="52" customWidth="1" min="1" max="1"/>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Part 4c — Override-Only Reliance Scenario (downside case), FY2026-2040</t>
        </is>
      </c>
    </row>
    <row r="2"/>
    <row r="3" ht="70" customHeight="1">
      <c r="A3" s="2" t="inlineStr">
        <is>
          <t>The lever every real historical gap has actually been closed with, sized against the DOWNSIDE case (town_assumptions - the Town's own published figures mechanically extended), not the base case. Under the base case no further override is needed before FY2040; this tab answers the different question of what overrides alone would cost if the Town's own more conservative forecast turns out to be the right one. A new override is called every three years - matching the ERSC's own finding that override intervals have compressed - and sized at whatever brings that year to breakeven. Each one then compounds at 2.5%/yr permanently, exactly like every real override in the historical model. This is a hypothetical, not a proposal, and deliberately says nothing about any real override.</t>
        </is>
      </c>
    </row>
    <row r="4"/>
    <row r="5">
      <c r="A5" s="4" t="inlineStr">
        <is>
          <t>Line item</t>
        </is>
      </c>
      <c r="C5" s="5" t="inlineStr">
        <is>
          <t>FY2026</t>
        </is>
      </c>
      <c r="D5" s="5" t="inlineStr">
        <is>
          <t>FY2027</t>
        </is>
      </c>
      <c r="E5" s="5" t="inlineStr">
        <is>
          <t>FY2028</t>
        </is>
      </c>
      <c r="F5" s="5" t="inlineStr">
        <is>
          <t>FY2029</t>
        </is>
      </c>
      <c r="G5" s="5" t="inlineStr">
        <is>
          <t>FY2030</t>
        </is>
      </c>
      <c r="H5" s="5" t="inlineStr">
        <is>
          <t>FY2031</t>
        </is>
      </c>
      <c r="I5" s="5" t="inlineStr">
        <is>
          <t>FY2032</t>
        </is>
      </c>
      <c r="J5" s="5" t="inlineStr">
        <is>
          <t>FY2033</t>
        </is>
      </c>
      <c r="K5" s="5" t="inlineStr">
        <is>
          <t>FY2034</t>
        </is>
      </c>
      <c r="L5" s="5" t="inlineStr">
        <is>
          <t>FY2035</t>
        </is>
      </c>
      <c r="M5" s="5" t="inlineStr">
        <is>
          <t>FY2036</t>
        </is>
      </c>
      <c r="N5" s="5" t="inlineStr">
        <is>
          <t>FY2037</t>
        </is>
      </c>
      <c r="O5" s="5" t="inlineStr">
        <is>
          <t>FY2038</t>
        </is>
      </c>
      <c r="P5" s="5" t="inlineStr">
        <is>
          <t>FY2039</t>
        </is>
      </c>
      <c r="Q5" s="5" t="inlineStr">
        <is>
          <t>FY2040</t>
        </is>
      </c>
    </row>
    <row r="6">
      <c r="A6" s="9" t="inlineStr">
        <is>
          <t>Base operating gap, before any new override (= Surplus-Deficit tab)</t>
        </is>
      </c>
      <c r="C6" s="7">
        <f>'Surplus-Deficit FY26-40'!C8</f>
        <v/>
      </c>
      <c r="D6" s="7">
        <f>'Surplus-Deficit FY26-40'!D8</f>
        <v/>
      </c>
      <c r="E6" s="7">
        <f>'Surplus-Deficit FY26-40'!E8</f>
        <v/>
      </c>
      <c r="F6" s="7">
        <f>'Surplus-Deficit FY26-40'!F8</f>
        <v/>
      </c>
      <c r="G6" s="7">
        <f>'Surplus-Deficit FY26-40'!G8</f>
        <v/>
      </c>
      <c r="H6" s="7">
        <f>'Surplus-Deficit FY26-40'!H8</f>
        <v/>
      </c>
      <c r="I6" s="7">
        <f>'Surplus-Deficit FY26-40'!I8</f>
        <v/>
      </c>
      <c r="J6" s="7">
        <f>'Surplus-Deficit FY26-40'!J8</f>
        <v/>
      </c>
      <c r="K6" s="7">
        <f>'Surplus-Deficit FY26-40'!K8</f>
        <v/>
      </c>
      <c r="L6" s="7">
        <f>'Surplus-Deficit FY26-40'!L8</f>
        <v/>
      </c>
      <c r="M6" s="7">
        <f>'Surplus-Deficit FY26-40'!M8</f>
        <v/>
      </c>
      <c r="N6" s="7">
        <f>'Surplus-Deficit FY26-40'!N8</f>
        <v/>
      </c>
      <c r="O6" s="7">
        <f>'Surplus-Deficit FY26-40'!O8</f>
        <v/>
      </c>
      <c r="P6" s="7">
        <f>'Surplus-Deficit FY26-40'!P8</f>
        <v/>
      </c>
      <c r="Q6" s="7">
        <f>'Surplus-Deficit FY26-40'!Q8</f>
        <v/>
      </c>
    </row>
    <row r="7">
      <c r="A7" s="9" t="inlineStr">
        <is>
          <t xml:space="preserve">  Cumulative prior overrides, grown 2.5% (start of year)</t>
        </is>
      </c>
      <c r="C7" s="7" t="n">
        <v>0</v>
      </c>
      <c r="D7" s="7">
        <f>C9*1.025</f>
        <v/>
      </c>
      <c r="E7" s="7">
        <f>D9*1.025</f>
        <v/>
      </c>
      <c r="F7" s="7">
        <f>E9*1.025</f>
        <v/>
      </c>
      <c r="G7" s="7">
        <f>F9*1.025</f>
        <v/>
      </c>
      <c r="H7" s="7">
        <f>G9*1.025</f>
        <v/>
      </c>
      <c r="I7" s="7">
        <f>H9*1.025</f>
        <v/>
      </c>
      <c r="J7" s="7">
        <f>I9*1.025</f>
        <v/>
      </c>
      <c r="K7" s="7">
        <f>J9*1.025</f>
        <v/>
      </c>
      <c r="L7" s="7">
        <f>K9*1.025</f>
        <v/>
      </c>
      <c r="M7" s="7">
        <f>L9*1.025</f>
        <v/>
      </c>
      <c r="N7" s="7">
        <f>M9*1.025</f>
        <v/>
      </c>
      <c r="O7" s="7">
        <f>N9*1.025</f>
        <v/>
      </c>
      <c r="P7" s="7">
        <f>O9*1.025</f>
        <v/>
      </c>
      <c r="Q7" s="7">
        <f>P9*1.025</f>
        <v/>
      </c>
    </row>
    <row r="8">
      <c r="A8" s="8" t="inlineStr">
        <is>
          <t xml:space="preserve">  NEW OVERRIDE CALLED THIS YEAR</t>
        </is>
      </c>
      <c r="C8" s="7" t="n">
        <v>0</v>
      </c>
      <c r="D8" s="7" t="n">
        <v>0</v>
      </c>
      <c r="E8" s="7" t="n">
        <v>0</v>
      </c>
      <c r="F8" s="7">
        <f>MAX(0,-(F6+F7))</f>
        <v/>
      </c>
      <c r="G8" s="7" t="n">
        <v>0</v>
      </c>
      <c r="H8" s="7" t="n">
        <v>0</v>
      </c>
      <c r="I8" s="7">
        <f>MAX(0,-(I6+I7))</f>
        <v/>
      </c>
      <c r="J8" s="7" t="n">
        <v>0</v>
      </c>
      <c r="K8" s="7" t="n">
        <v>0</v>
      </c>
      <c r="L8" s="7">
        <f>MAX(0,-(L6+L7))</f>
        <v/>
      </c>
      <c r="M8" s="7" t="n">
        <v>0</v>
      </c>
      <c r="N8" s="7" t="n">
        <v>0</v>
      </c>
      <c r="O8" s="7">
        <f>MAX(0,-(O6+O7))</f>
        <v/>
      </c>
      <c r="P8" s="7" t="n">
        <v>0</v>
      </c>
      <c r="Q8" s="7" t="n">
        <v>0</v>
      </c>
    </row>
    <row r="9">
      <c r="A9" s="9" t="inlineStr">
        <is>
          <t xml:space="preserve">  Cumulative override capacity (end of year)</t>
        </is>
      </c>
      <c r="C9" s="7">
        <f>C7+C8</f>
        <v/>
      </c>
      <c r="D9" s="7">
        <f>D7+D8</f>
        <v/>
      </c>
      <c r="E9" s="7">
        <f>E7+E8</f>
        <v/>
      </c>
      <c r="F9" s="7">
        <f>F7+F8</f>
        <v/>
      </c>
      <c r="G9" s="7">
        <f>G7+G8</f>
        <v/>
      </c>
      <c r="H9" s="7">
        <f>H7+H8</f>
        <v/>
      </c>
      <c r="I9" s="7">
        <f>I7+I8</f>
        <v/>
      </c>
      <c r="J9" s="7">
        <f>J7+J8</f>
        <v/>
      </c>
      <c r="K9" s="7">
        <f>K7+K8</f>
        <v/>
      </c>
      <c r="L9" s="7">
        <f>L7+L8</f>
        <v/>
      </c>
      <c r="M9" s="7">
        <f>M7+M8</f>
        <v/>
      </c>
      <c r="N9" s="7">
        <f>N7+N8</f>
        <v/>
      </c>
      <c r="O9" s="7">
        <f>O7+O8</f>
        <v/>
      </c>
      <c r="P9" s="7">
        <f>P7+P8</f>
        <v/>
      </c>
      <c r="Q9" s="7">
        <f>Q7+Q8</f>
        <v/>
      </c>
    </row>
    <row r="10">
      <c r="A10" s="8" t="inlineStr">
        <is>
          <t>RESULTING SURPLUS / (DEFICIT)</t>
        </is>
      </c>
      <c r="C10" s="7">
        <f>C6+C9</f>
        <v/>
      </c>
      <c r="D10" s="7">
        <f>D6+D9</f>
        <v/>
      </c>
      <c r="E10" s="7">
        <f>E6+E9</f>
        <v/>
      </c>
      <c r="F10" s="7">
        <f>F6+F9</f>
        <v/>
      </c>
      <c r="G10" s="7">
        <f>G6+G9</f>
        <v/>
      </c>
      <c r="H10" s="7">
        <f>H6+H9</f>
        <v/>
      </c>
      <c r="I10" s="7">
        <f>I6+I9</f>
        <v/>
      </c>
      <c r="J10" s="7">
        <f>J6+J9</f>
        <v/>
      </c>
      <c r="K10" s="7">
        <f>K6+K9</f>
        <v/>
      </c>
      <c r="L10" s="7">
        <f>L6+L9</f>
        <v/>
      </c>
      <c r="M10" s="7">
        <f>M6+M9</f>
        <v/>
      </c>
      <c r="N10" s="7">
        <f>N6+N9</f>
        <v/>
      </c>
      <c r="O10" s="7">
        <f>O6+O9</f>
        <v/>
      </c>
      <c r="P10" s="7">
        <f>P6+P9</f>
        <v/>
      </c>
      <c r="Q10" s="7">
        <f>Q6+Q9</f>
        <v/>
      </c>
    </row>
    <row r="11">
      <c r="A11" s="9" t="inlineStr">
        <is>
          <t xml:space="preserve">  as % of total revenue</t>
        </is>
      </c>
      <c r="C11" s="11">
        <f>C10/'Revenue FY26-40'!C28</f>
        <v/>
      </c>
      <c r="D11" s="11">
        <f>D10/'Revenue FY26-40'!D28</f>
        <v/>
      </c>
      <c r="E11" s="11">
        <f>E10/'Revenue FY26-40'!E28</f>
        <v/>
      </c>
      <c r="F11" s="11">
        <f>F10/'Revenue FY26-40'!F28</f>
        <v/>
      </c>
      <c r="G11" s="11">
        <f>G10/'Revenue FY26-40'!G28</f>
        <v/>
      </c>
      <c r="H11" s="11">
        <f>H10/'Revenue FY26-40'!H28</f>
        <v/>
      </c>
      <c r="I11" s="11">
        <f>I10/'Revenue FY26-40'!I28</f>
        <v/>
      </c>
      <c r="J11" s="11">
        <f>J10/'Revenue FY26-40'!J28</f>
        <v/>
      </c>
      <c r="K11" s="11">
        <f>K10/'Revenue FY26-40'!K28</f>
        <v/>
      </c>
      <c r="L11" s="11">
        <f>L10/'Revenue FY26-40'!L28</f>
        <v/>
      </c>
      <c r="M11" s="11">
        <f>M10/'Revenue FY26-40'!M28</f>
        <v/>
      </c>
      <c r="N11" s="11">
        <f>N10/'Revenue FY26-40'!N28</f>
        <v/>
      </c>
      <c r="O11" s="11">
        <f>O10/'Revenue FY26-40'!O28</f>
        <v/>
      </c>
      <c r="P11" s="11">
        <f>P10/'Revenue FY26-40'!P28</f>
        <v/>
      </c>
      <c r="Q11" s="11">
        <f>Q10/'Revenue FY26-40'!Q28</f>
        <v/>
      </c>
    </row>
    <row r="12">
      <c r="A12" s="9" t="inlineStr">
        <is>
          <t>Check vs. Python model (should be ~$0)</t>
        </is>
      </c>
      <c r="C12" s="7">
        <f>C10-1.0</f>
        <v/>
      </c>
      <c r="D12" s="7">
        <f>D10-357144.0</f>
        <v/>
      </c>
      <c r="E12" s="7">
        <f>E10--4996892.0</f>
        <v/>
      </c>
      <c r="F12" s="7">
        <f>F10-0.0</f>
        <v/>
      </c>
      <c r="G12" s="7">
        <f>G10--2818857.0</f>
        <v/>
      </c>
      <c r="H12" s="7">
        <f>H10--9627478.0</f>
        <v/>
      </c>
      <c r="I12" s="7">
        <f>I10-0.0</f>
        <v/>
      </c>
      <c r="J12" s="7">
        <f>J10--9263387.0</f>
        <v/>
      </c>
      <c r="K12" s="7">
        <f>K10--19515533.0</f>
        <v/>
      </c>
      <c r="L12" s="7">
        <f>L10-0.0</f>
        <v/>
      </c>
      <c r="M12" s="7">
        <f>M10--12770404.0</f>
        <v/>
      </c>
      <c r="N12" s="7">
        <f>N10--26768434.0</f>
        <v/>
      </c>
      <c r="O12" s="7">
        <f>O10-0.0</f>
        <v/>
      </c>
      <c r="P12" s="7">
        <f>P10--15671090.0</f>
        <v/>
      </c>
      <c r="Q12" s="7">
        <f>Q10--32825566.0</f>
        <v/>
      </c>
    </row>
  </sheetData>
  <mergeCells count="2">
    <mergeCell ref="A3:Q3"/>
    <mergeCell ref="A1:W1"/>
  </mergeCells>
  <conditionalFormatting sqref="C12:W12">
    <cfRule type="cellIs" priority="1" operator="greaterThan" dxfId="0">
      <formula>6</formula>
    </cfRule>
    <cfRule type="cellIs" priority="2" operator="lessThan" dxfId="0">
      <formula>-6</formula>
    </cfRule>
  </conditionalFormatting>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W43"/>
  <sheetViews>
    <sheetView showGridLines="0" workbookViewId="0">
      <pane xSplit="2" ySplit="21" topLeftCell="C22" activePane="bottomRight" state="frozen"/>
      <selection pane="topRight"/>
      <selection pane="bottomLeft"/>
      <selection pane="bottomRight" activeCell="A1" sqref="A1"/>
    </sheetView>
  </sheetViews>
  <sheetFormatPr baseColWidth="8" defaultRowHeight="15" outlineLevelCol="0"/>
  <cols>
    <col width="46" customWidth="1" min="1" max="1"/>
    <col width="16"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s>
  <sheetData>
    <row r="1" ht="26" customHeight="1">
      <c r="A1" s="1" t="inlineStr">
        <is>
          <t>Base case: driver forecast, FY2026-2040 (with the May 2026 override)</t>
        </is>
      </c>
    </row>
    <row r="3" ht="56" customHeight="1">
      <c r="A3" s="2" t="inlineStr">
        <is>
          <t>The base case since 2026-09-29. FY2026 is the Town's FY2026 budget and FY2027 the budget Town Meeting adopted; from FY2028 each line moves with its drivers (staff, pay, prices, premiums, enrollment, homes and square feet), continuing Brookline's FY2011-25 record. Lines are cited from expense_driver_forecast.py (grey); totals and the room are live. Operating basis: excluded debt is left out of both sides. The trend tabs (Revenue, Expense, Surplus-Deficit) are the earlier method, kept as a cross-check.</t>
        </is>
      </c>
    </row>
    <row r="5">
      <c r="A5" s="3" t="inlineStr">
        <is>
          <t>Base-case assumptions (expense_driver_forecast.py BASE; each is tested in 'What Decides FY2040')</t>
        </is>
      </c>
    </row>
    <row r="6">
      <c r="A6" s="16" t="inlineStr">
        <is>
          <t>Assumption</t>
        </is>
      </c>
      <c r="B6" s="16" t="inlineStr">
        <is>
          <t>Base value</t>
        </is>
      </c>
      <c r="C6" s="16" t="inlineStr">
        <is>
          <t>Basis</t>
        </is>
      </c>
    </row>
    <row r="7">
      <c r="A7" s="24" t="inlineStr">
        <is>
          <t>Pay growth, Town staff</t>
        </is>
      </c>
      <c r="B7" s="24" t="inlineStr">
        <is>
          <t>3.0%/yr</t>
        </is>
      </c>
      <c r="C7" s="14" t="inlineStr">
        <is>
          <t>The Town's bargaining target</t>
        </is>
      </c>
    </row>
    <row r="8">
      <c r="A8" s="24" t="inlineStr">
        <is>
          <t>Pay growth, school staff</t>
        </is>
      </c>
      <c r="B8" s="24" t="inlineStr">
        <is>
          <t>3.7%/yr</t>
        </is>
      </c>
      <c r="C8" s="14" t="inlineStr">
        <is>
          <t>0.7 point above the target: middle of the 3.3-4.1% range from the School Department's FY2026 budget build at the 2.75% contract raise (FY2011-25 record: +0.4)</t>
        </is>
      </c>
    </row>
    <row r="9">
      <c r="A9" s="24" t="inlineStr">
        <is>
          <t>Pay growth, Public Safety</t>
        </is>
      </c>
      <c r="B9" s="24" t="inlineStr">
        <is>
          <t>4.5%/yr</t>
        </is>
      </c>
      <c r="C9" s="14" t="inlineStr">
        <is>
          <t>1.5 points above the target, for the same reason</t>
        </is>
      </c>
    </row>
    <row r="10">
      <c r="A10" s="24" t="inlineStr">
        <is>
          <t>Inflation (non-personnel costs)</t>
        </is>
      </c>
      <c r="B10" s="24" t="inlineStr">
        <is>
          <t>2.5%/yr</t>
        </is>
      </c>
      <c r="C10" s="14" t="inlineStr">
        <is>
          <t>Long-run CPI</t>
        </is>
      </c>
    </row>
    <row r="11">
      <c r="A11" s="24" t="inlineStr">
        <is>
          <t>Health premiums, FY2028-29</t>
        </is>
      </c>
      <c r="B11" s="24" t="inlineStr">
        <is>
          <t>12%/yr</t>
        </is>
      </c>
      <c r="C11" s="14" t="inlineStr">
        <is>
          <t>The Town's own forecast</t>
        </is>
      </c>
    </row>
    <row r="12">
      <c r="A12" s="24" t="inlineStr">
        <is>
          <t>Health premiums, FY2030 on</t>
        </is>
      </c>
      <c r="B12" s="24" t="inlineStr">
        <is>
          <t>8%/yr</t>
        </is>
      </c>
      <c r="C12" s="14" t="inlineStr">
        <is>
          <t>Between the 6.5% 25-year average and the recent 10-12%</t>
        </is>
      </c>
    </row>
    <row r="13">
      <c r="A13" s="24" t="inlineStr">
        <is>
          <t>School staffing</t>
        </is>
      </c>
      <c r="B13" s="24" t="inlineStr">
        <is>
          <t>FY2027 staff kept</t>
        </is>
      </c>
      <c r="C13" s="14" t="inlineStr">
        <is>
          <t>Held at the FY2027 level as enrollment falls (FY2019-25: enrollment -10.6%, staff -5.0%); students from growth above trend are staffed</t>
        </is>
      </c>
    </row>
    <row r="14">
      <c r="A14" s="24" t="inlineStr">
        <is>
          <t>Enrollment</t>
        </is>
      </c>
      <c r="B14" s="24" t="inlineStr">
        <is>
          <t>NESDEC</t>
        </is>
      </c>
      <c r="C14" s="14" t="inlineStr">
        <is>
          <t>NESDEC Oct 2023 projection, scaled to the Sept 2026 count, extended to FY2040</t>
        </is>
      </c>
    </row>
    <row r="15">
      <c r="A15" s="24" t="inlineStr">
        <is>
          <t>Town cost of a new home</t>
        </is>
      </c>
      <c r="B15" s="24" t="inlineStr">
        <is>
          <t>$660 (FY2025 $)</t>
        </is>
      </c>
      <c r="C15" s="14" t="inlineStr">
        <is>
          <t>Cross-town comparison (cross_town_marginal_cost.py), grown with pay, plus benefits</t>
        </is>
      </c>
    </row>
    <row r="16">
      <c r="A16" s="24" t="inlineStr">
        <is>
          <t>New growth</t>
        </is>
      </c>
      <c r="B16" s="24" t="inlineStr">
        <is>
          <t>Recent trend</t>
        </is>
      </c>
      <c r="C16" s="14" t="inlineStr">
        <is>
          <t>Each category at its trailing five-year rate, % of the prior levy</t>
        </is>
      </c>
    </row>
    <row r="17">
      <c r="A17" s="24" t="inlineStr">
        <is>
          <t>Chestnut Hill (CHCA)</t>
        </is>
      </c>
      <c r="B17" s="24" t="inlineStr">
        <is>
          <t>Approved program</t>
        </is>
      </c>
      <c r="C17" s="14" t="inlineStr">
        <is>
          <t>266 homes and a 200-room hotel; revenue and costs ramp FY2032-34</t>
        </is>
      </c>
    </row>
    <row r="18">
      <c r="A18" s="24" t="inlineStr">
        <is>
          <t>Pensions</t>
        </is>
      </c>
      <c r="B18" s="24" t="inlineStr">
        <is>
          <t>Town schedule</t>
        </is>
      </c>
      <c r="C18" s="14" t="inlineStr">
        <is>
          <t>Full funding FY2030; then normal cost grows with payroll</t>
        </is>
      </c>
    </row>
    <row r="19">
      <c r="A19" s="24" t="inlineStr">
        <is>
          <t>OPEB</t>
        </is>
      </c>
      <c r="B19" s="24" t="inlineStr">
        <is>
          <t>Town schedule</t>
        </is>
      </c>
      <c r="C19" s="14" t="inlineStr">
        <is>
          <t>Includes moving pension savings to OPEB in FY2031</t>
        </is>
      </c>
    </row>
    <row r="21">
      <c r="A21" s="4" t="inlineStr">
        <is>
          <t>Line item</t>
        </is>
      </c>
      <c r="C21" s="5" t="inlineStr">
        <is>
          <t>FY2026</t>
        </is>
      </c>
      <c r="D21" s="5" t="inlineStr">
        <is>
          <t>FY2027</t>
        </is>
      </c>
      <c r="E21" s="5" t="inlineStr">
        <is>
          <t>FY2028</t>
        </is>
      </c>
      <c r="F21" s="5" t="inlineStr">
        <is>
          <t>FY2029</t>
        </is>
      </c>
      <c r="G21" s="5" t="inlineStr">
        <is>
          <t>FY2030</t>
        </is>
      </c>
      <c r="H21" s="5" t="inlineStr">
        <is>
          <t>FY2031</t>
        </is>
      </c>
      <c r="I21" s="5" t="inlineStr">
        <is>
          <t>FY2032</t>
        </is>
      </c>
      <c r="J21" s="5" t="inlineStr">
        <is>
          <t>FY2033</t>
        </is>
      </c>
      <c r="K21" s="5" t="inlineStr">
        <is>
          <t>FY2034</t>
        </is>
      </c>
      <c r="L21" s="5" t="inlineStr">
        <is>
          <t>FY2035</t>
        </is>
      </c>
      <c r="M21" s="5" t="inlineStr">
        <is>
          <t>FY2036</t>
        </is>
      </c>
      <c r="N21" s="5" t="inlineStr">
        <is>
          <t>FY2037</t>
        </is>
      </c>
      <c r="O21" s="5" t="inlineStr">
        <is>
          <t>FY2038</t>
        </is>
      </c>
      <c r="P21" s="5" t="inlineStr">
        <is>
          <t>FY2039</t>
        </is>
      </c>
      <c r="Q21" s="5" t="inlineStr">
        <is>
          <t>FY2040</t>
        </is>
      </c>
    </row>
    <row r="22">
      <c r="A22" s="6" t="inlineStr">
        <is>
          <t>Schools</t>
        </is>
      </c>
      <c r="C22" s="21" t="n">
        <v>142792591</v>
      </c>
      <c r="D22" s="21" t="n">
        <v>149801900</v>
      </c>
      <c r="E22" s="21" t="n">
        <v>154551017</v>
      </c>
      <c r="F22" s="21" t="n">
        <v>159752965</v>
      </c>
      <c r="G22" s="21" t="n">
        <v>165237344</v>
      </c>
      <c r="H22" s="21" t="n">
        <v>170756874</v>
      </c>
      <c r="I22" s="21" t="n">
        <v>176767830</v>
      </c>
      <c r="J22" s="21" t="n">
        <v>182927100</v>
      </c>
      <c r="K22" s="21" t="n">
        <v>189297403</v>
      </c>
      <c r="L22" s="21" t="n">
        <v>195725482</v>
      </c>
      <c r="M22" s="21" t="n">
        <v>202362072</v>
      </c>
      <c r="N22" s="21" t="n">
        <v>209335879</v>
      </c>
      <c r="O22" s="21" t="n">
        <v>216489285</v>
      </c>
      <c r="P22" s="21" t="n">
        <v>224173560</v>
      </c>
      <c r="Q22" s="21" t="n">
        <v>232124861</v>
      </c>
    </row>
    <row r="23">
      <c r="A23" s="6" t="inlineStr">
        <is>
          <t>Town departments</t>
        </is>
      </c>
      <c r="C23" s="21" t="n">
        <v>98868974</v>
      </c>
      <c r="D23" s="21" t="n">
        <v>103486124</v>
      </c>
      <c r="E23" s="21" t="n">
        <v>107151241</v>
      </c>
      <c r="F23" s="21" t="n">
        <v>110953976</v>
      </c>
      <c r="G23" s="21" t="n">
        <v>114899763</v>
      </c>
      <c r="H23" s="21" t="n">
        <v>118994260</v>
      </c>
      <c r="I23" s="21" t="n">
        <v>123243357</v>
      </c>
      <c r="J23" s="21" t="n">
        <v>127653187</v>
      </c>
      <c r="K23" s="21" t="n">
        <v>132230136</v>
      </c>
      <c r="L23" s="21" t="n">
        <v>136980855</v>
      </c>
      <c r="M23" s="21" t="n">
        <v>141912267</v>
      </c>
      <c r="N23" s="21" t="n">
        <v>147031584</v>
      </c>
      <c r="O23" s="21" t="n">
        <v>152346315</v>
      </c>
      <c r="P23" s="21" t="n">
        <v>157864282</v>
      </c>
      <c r="Q23" s="21" t="n">
        <v>163593630</v>
      </c>
    </row>
    <row r="24">
      <c r="A24" s="6" t="inlineStr">
        <is>
          <t>Town departments: services for growth</t>
        </is>
      </c>
      <c r="C24" s="21" t="n">
        <v>0</v>
      </c>
      <c r="D24" s="21" t="n">
        <v>0</v>
      </c>
      <c r="E24" s="21" t="n">
        <v>126163</v>
      </c>
      <c r="F24" s="21" t="n">
        <v>260804</v>
      </c>
      <c r="G24" s="21" t="n">
        <v>405904</v>
      </c>
      <c r="H24" s="21" t="n">
        <v>558016</v>
      </c>
      <c r="I24" s="21" t="n">
        <v>864336</v>
      </c>
      <c r="J24" s="21" t="n">
        <v>1188713</v>
      </c>
      <c r="K24" s="21" t="n">
        <v>1531968</v>
      </c>
      <c r="L24" s="21" t="n">
        <v>1739848</v>
      </c>
      <c r="M24" s="21" t="n">
        <v>1958106</v>
      </c>
      <c r="N24" s="21" t="n">
        <v>2188105</v>
      </c>
      <c r="O24" s="21" t="n">
        <v>2429395</v>
      </c>
      <c r="P24" s="21" t="n">
        <v>2683431</v>
      </c>
      <c r="Q24" s="21" t="n">
        <v>2949750</v>
      </c>
    </row>
    <row r="25">
      <c r="A25" s="6" t="inlineStr">
        <is>
          <t>Health insurance</t>
        </is>
      </c>
      <c r="C25" s="21" t="n">
        <v>41625292</v>
      </c>
      <c r="D25" s="21" t="n">
        <v>46364204</v>
      </c>
      <c r="E25" s="21" t="n">
        <v>52116199</v>
      </c>
      <c r="F25" s="21" t="n">
        <v>58582589</v>
      </c>
      <c r="G25" s="21" t="n">
        <v>63500336</v>
      </c>
      <c r="H25" s="21" t="n">
        <v>68831841</v>
      </c>
      <c r="I25" s="21" t="n">
        <v>74637647</v>
      </c>
      <c r="J25" s="21" t="n">
        <v>80934046</v>
      </c>
      <c r="K25" s="21" t="n">
        <v>87762566</v>
      </c>
      <c r="L25" s="21" t="n">
        <v>95135945</v>
      </c>
      <c r="M25" s="21" t="n">
        <v>103130200</v>
      </c>
      <c r="N25" s="21" t="n">
        <v>111797729</v>
      </c>
      <c r="O25" s="21" t="n">
        <v>121195363</v>
      </c>
      <c r="P25" s="21" t="n">
        <v>131384741</v>
      </c>
      <c r="Q25" s="21" t="n">
        <v>142432714</v>
      </c>
    </row>
    <row r="26">
      <c r="A26" s="6" t="inlineStr">
        <is>
          <t>Health insurance: staff added for growth</t>
        </is>
      </c>
      <c r="C26" s="21" t="n">
        <v>0</v>
      </c>
      <c r="D26" s="21" t="n">
        <v>0</v>
      </c>
      <c r="E26" s="21" t="n">
        <v>29806</v>
      </c>
      <c r="F26" s="21" t="n">
        <v>61615</v>
      </c>
      <c r="G26" s="21" t="n">
        <v>95894</v>
      </c>
      <c r="H26" s="21" t="n">
        <v>131831</v>
      </c>
      <c r="I26" s="21" t="n">
        <v>204198</v>
      </c>
      <c r="J26" s="21" t="n">
        <v>280832</v>
      </c>
      <c r="K26" s="21" t="n">
        <v>361926</v>
      </c>
      <c r="L26" s="21" t="n">
        <v>411037</v>
      </c>
      <c r="M26" s="21" t="n">
        <v>462600</v>
      </c>
      <c r="N26" s="21" t="n">
        <v>516937</v>
      </c>
      <c r="O26" s="21" t="n">
        <v>573942</v>
      </c>
      <c r="P26" s="21" t="n">
        <v>633958</v>
      </c>
      <c r="Q26" s="21" t="n">
        <v>696875</v>
      </c>
    </row>
    <row r="27">
      <c r="A27" s="6" t="inlineStr">
        <is>
          <t>Pensions</t>
        </is>
      </c>
      <c r="C27" s="21" t="n">
        <v>38070807</v>
      </c>
      <c r="D27" s="21" t="n">
        <v>41167421</v>
      </c>
      <c r="E27" s="21" t="n">
        <v>44290129</v>
      </c>
      <c r="F27" s="21" t="n">
        <v>47766904</v>
      </c>
      <c r="G27" s="21" t="n">
        <v>44088421</v>
      </c>
      <c r="H27" s="21" t="n">
        <v>7276167</v>
      </c>
      <c r="I27" s="21" t="n">
        <v>7494452</v>
      </c>
      <c r="J27" s="21" t="n">
        <v>7719286</v>
      </c>
      <c r="K27" s="21" t="n">
        <v>7950864</v>
      </c>
      <c r="L27" s="21" t="n">
        <v>8189390</v>
      </c>
      <c r="M27" s="21" t="n">
        <v>8435072</v>
      </c>
      <c r="N27" s="21" t="n">
        <v>8688124</v>
      </c>
      <c r="O27" s="21" t="n">
        <v>8948768</v>
      </c>
      <c r="P27" s="21" t="n">
        <v>9217231</v>
      </c>
      <c r="Q27" s="21" t="n">
        <v>9493748</v>
      </c>
    </row>
    <row r="28">
      <c r="A28" s="6" t="inlineStr">
        <is>
          <t>Retiree health prefunding (OPEB)</t>
        </is>
      </c>
      <c r="C28" s="21" t="n">
        <v>4931980</v>
      </c>
      <c r="D28" s="21" t="n">
        <v>4931980</v>
      </c>
      <c r="E28" s="21" t="n">
        <v>5431980</v>
      </c>
      <c r="F28" s="21" t="n">
        <v>5681980</v>
      </c>
      <c r="G28" s="21" t="n">
        <v>5931980</v>
      </c>
      <c r="H28" s="21" t="n">
        <v>42994233</v>
      </c>
      <c r="I28" s="21" t="n">
        <v>42994233</v>
      </c>
      <c r="J28" s="21" t="n">
        <v>42994233</v>
      </c>
      <c r="K28" s="21" t="n">
        <v>42994233</v>
      </c>
      <c r="L28" s="21" t="n">
        <v>42994233</v>
      </c>
      <c r="M28" s="21" t="n">
        <v>42994233</v>
      </c>
      <c r="N28" s="21" t="n">
        <v>42994233</v>
      </c>
      <c r="O28" s="21" t="n">
        <v>42994233</v>
      </c>
      <c r="P28" s="21" t="n">
        <v>42994233</v>
      </c>
      <c r="Q28" s="21" t="n">
        <v>42994233</v>
      </c>
    </row>
    <row r="29">
      <c r="A29" s="6" t="inlineStr">
        <is>
          <t>Other benefits</t>
        </is>
      </c>
      <c r="C29" s="21" t="n">
        <v>6166820</v>
      </c>
      <c r="D29" s="21" t="n">
        <v>6659823</v>
      </c>
      <c r="E29" s="21" t="n">
        <v>7065901</v>
      </c>
      <c r="F29" s="21" t="n">
        <v>7387023</v>
      </c>
      <c r="G29" s="21" t="n">
        <v>7727010</v>
      </c>
      <c r="H29" s="21" t="n">
        <v>8087057</v>
      </c>
      <c r="I29" s="21" t="n">
        <v>8335388</v>
      </c>
      <c r="J29" s="21" t="n">
        <v>8591340</v>
      </c>
      <c r="K29" s="21" t="n">
        <v>8855147</v>
      </c>
      <c r="L29" s="21" t="n">
        <v>9120801</v>
      </c>
      <c r="M29" s="21" t="n">
        <v>9394426</v>
      </c>
      <c r="N29" s="21" t="n">
        <v>9676258</v>
      </c>
      <c r="O29" s="21" t="n">
        <v>9966546</v>
      </c>
      <c r="P29" s="21" t="n">
        <v>10265542</v>
      </c>
      <c r="Q29" s="21" t="n">
        <v>10573509</v>
      </c>
    </row>
    <row r="30">
      <c r="A30" s="6" t="inlineStr">
        <is>
          <t>Within-levy debt</t>
        </is>
      </c>
      <c r="C30" s="21" t="n">
        <v>14870525</v>
      </c>
      <c r="D30" s="21" t="n">
        <v>14045480</v>
      </c>
      <c r="E30" s="21" t="n">
        <v>13979683</v>
      </c>
      <c r="F30" s="21" t="n">
        <v>15645518</v>
      </c>
      <c r="G30" s="21" t="n">
        <v>16025925</v>
      </c>
      <c r="H30" s="21" t="n">
        <v>16589625</v>
      </c>
      <c r="I30" s="21" t="n">
        <v>17170262</v>
      </c>
      <c r="J30" s="21" t="n">
        <v>17771221</v>
      </c>
      <c r="K30" s="21" t="n">
        <v>18393214</v>
      </c>
      <c r="L30" s="21" t="n">
        <v>19036976</v>
      </c>
      <c r="M30" s="21" t="n">
        <v>19703270</v>
      </c>
      <c r="N30" s="21" t="n">
        <v>20392885</v>
      </c>
      <c r="O30" s="21" t="n">
        <v>21106636</v>
      </c>
      <c r="P30" s="21" t="n">
        <v>21845368</v>
      </c>
      <c r="Q30" s="21" t="n">
        <v>22609956</v>
      </c>
    </row>
    <row r="31">
      <c r="A31" s="6" t="inlineStr">
        <is>
          <t>Capital, reserves and other</t>
        </is>
      </c>
      <c r="C31" s="21" t="n">
        <v>43684281</v>
      </c>
      <c r="D31" s="21" t="n">
        <v>48831743</v>
      </c>
      <c r="E31" s="21" t="n">
        <v>43656513</v>
      </c>
      <c r="F31" s="21" t="n">
        <v>44003384</v>
      </c>
      <c r="G31" s="21" t="n">
        <v>45537525</v>
      </c>
      <c r="H31" s="21" t="n">
        <v>46358295</v>
      </c>
      <c r="I31" s="21" t="n">
        <v>48111392</v>
      </c>
      <c r="J31" s="21" t="n">
        <v>49667652</v>
      </c>
      <c r="K31" s="21" t="n">
        <v>50672985</v>
      </c>
      <c r="L31" s="21" t="n">
        <v>51715909</v>
      </c>
      <c r="M31" s="21" t="n">
        <v>52736987</v>
      </c>
      <c r="N31" s="21" t="n">
        <v>53795575</v>
      </c>
      <c r="O31" s="21" t="n">
        <v>54893985</v>
      </c>
      <c r="P31" s="21" t="n">
        <v>56033721</v>
      </c>
      <c r="Q31" s="21" t="n">
        <v>57216346</v>
      </c>
    </row>
    <row r="32">
      <c r="A32" s="8" t="inlineStr">
        <is>
          <t>OPERATING SPENDING</t>
        </is>
      </c>
      <c r="C32" s="25">
        <f>SUM(C22:C31)</f>
        <v/>
      </c>
      <c r="D32" s="25">
        <f>SUM(D22:D31)</f>
        <v/>
      </c>
      <c r="E32" s="25">
        <f>SUM(E22:E31)</f>
        <v/>
      </c>
      <c r="F32" s="25">
        <f>SUM(F22:F31)</f>
        <v/>
      </c>
      <c r="G32" s="25">
        <f>SUM(G22:G31)</f>
        <v/>
      </c>
      <c r="H32" s="25">
        <f>SUM(H22:H31)</f>
        <v/>
      </c>
      <c r="I32" s="25">
        <f>SUM(I22:I31)</f>
        <v/>
      </c>
      <c r="J32" s="25">
        <f>SUM(J22:J31)</f>
        <v/>
      </c>
      <c r="K32" s="25">
        <f>SUM(K22:K31)</f>
        <v/>
      </c>
      <c r="L32" s="25">
        <f>SUM(L22:L31)</f>
        <v/>
      </c>
      <c r="M32" s="25">
        <f>SUM(M22:M31)</f>
        <v/>
      </c>
      <c r="N32" s="25">
        <f>SUM(N22:N31)</f>
        <v/>
      </c>
      <c r="O32" s="25">
        <f>SUM(O22:O31)</f>
        <v/>
      </c>
      <c r="P32" s="25">
        <f>SUM(P22:P31)</f>
        <v/>
      </c>
      <c r="Q32" s="25">
        <f>SUM(Q22:Q31)</f>
        <v/>
      </c>
    </row>
    <row r="33">
      <c r="A33" s="6" t="inlineStr">
        <is>
          <t>Operating revenue (cited - growth scenario model, trend + Chestnut Hill)</t>
        </is>
      </c>
      <c r="C33" s="21" t="n">
        <v>392289331</v>
      </c>
      <c r="D33" s="21" t="n">
        <v>417990404</v>
      </c>
      <c r="E33" s="21" t="n">
        <v>438336589</v>
      </c>
      <c r="F33" s="21" t="n">
        <v>462135652</v>
      </c>
      <c r="G33" s="21" t="n">
        <v>480579636</v>
      </c>
      <c r="H33" s="21" t="n">
        <v>496384915</v>
      </c>
      <c r="I33" s="21" t="n">
        <v>516692548</v>
      </c>
      <c r="J33" s="21" t="n">
        <v>537507518</v>
      </c>
      <c r="K33" s="21" t="n">
        <v>559322601</v>
      </c>
      <c r="L33" s="21" t="n">
        <v>580179148</v>
      </c>
      <c r="M33" s="21" t="n">
        <v>601799407</v>
      </c>
      <c r="N33" s="21" t="n">
        <v>624117555</v>
      </c>
      <c r="O33" s="21" t="n">
        <v>647267648</v>
      </c>
      <c r="P33" s="21" t="n">
        <v>671285514</v>
      </c>
      <c r="Q33" s="21" t="n">
        <v>696207120</v>
      </c>
    </row>
    <row r="34">
      <c r="A34" s="8" t="inlineStr">
        <is>
          <t>ROOM (revenue minus spending)</t>
        </is>
      </c>
      <c r="C34" s="25">
        <f>C33-C32</f>
        <v/>
      </c>
      <c r="D34" s="25">
        <f>D33-D32</f>
        <v/>
      </c>
      <c r="E34" s="25">
        <f>E33-E32</f>
        <v/>
      </c>
      <c r="F34" s="25">
        <f>F33-F32</f>
        <v/>
      </c>
      <c r="G34" s="25">
        <f>G33-G32</f>
        <v/>
      </c>
      <c r="H34" s="25">
        <f>H33-H32</f>
        <v/>
      </c>
      <c r="I34" s="25">
        <f>I33-I32</f>
        <v/>
      </c>
      <c r="J34" s="25">
        <f>J33-J32</f>
        <v/>
      </c>
      <c r="K34" s="25">
        <f>K33-K32</f>
        <v/>
      </c>
      <c r="L34" s="25">
        <f>L33-L32</f>
        <v/>
      </c>
      <c r="M34" s="25">
        <f>M33-M32</f>
        <v/>
      </c>
      <c r="N34" s="25">
        <f>N33-N32</f>
        <v/>
      </c>
      <c r="O34" s="25">
        <f>O33-O32</f>
        <v/>
      </c>
      <c r="P34" s="25">
        <f>P33-P32</f>
        <v/>
      </c>
      <c r="Q34" s="25">
        <f>Q33-Q32</f>
        <v/>
      </c>
    </row>
    <row r="35">
      <c r="A35" s="9" t="inlineStr">
        <is>
          <t>Room, share of revenue</t>
        </is>
      </c>
      <c r="C35" s="11">
        <f>C34/C33</f>
        <v/>
      </c>
      <c r="D35" s="11">
        <f>D34/D33</f>
        <v/>
      </c>
      <c r="E35" s="11">
        <f>E34/E33</f>
        <v/>
      </c>
      <c r="F35" s="11">
        <f>F34/F33</f>
        <v/>
      </c>
      <c r="G35" s="11">
        <f>G34/G33</f>
        <v/>
      </c>
      <c r="H35" s="11">
        <f>H34/H33</f>
        <v/>
      </c>
      <c r="I35" s="11">
        <f>I34/I33</f>
        <v/>
      </c>
      <c r="J35" s="11">
        <f>J34/J33</f>
        <v/>
      </c>
      <c r="K35" s="11">
        <f>K34/K33</f>
        <v/>
      </c>
      <c r="L35" s="11">
        <f>L34/L33</f>
        <v/>
      </c>
      <c r="M35" s="11">
        <f>M34/M33</f>
        <v/>
      </c>
      <c r="N35" s="11">
        <f>N34/N33</f>
        <v/>
      </c>
      <c r="O35" s="11">
        <f>O34/O33</f>
        <v/>
      </c>
      <c r="P35" s="11">
        <f>P34/P33</f>
        <v/>
      </c>
      <c r="Q35" s="11">
        <f>Q34/Q33</f>
        <v/>
      </c>
    </row>
    <row r="36">
      <c r="A36" s="9" t="inlineStr">
        <is>
          <t>Check vs. Python model (should be ~$0)</t>
        </is>
      </c>
      <c r="C36" s="7">
        <f>C34-1278061.0</f>
        <v/>
      </c>
      <c r="D36" s="7">
        <f>D34-2701729.0</f>
        <v/>
      </c>
      <c r="E36" s="7">
        <f>E34-9937956.0</f>
        <v/>
      </c>
      <c r="F36" s="7">
        <f>F34-12038894.0</f>
        <v/>
      </c>
      <c r="G36" s="7">
        <f>G34-17129533.0</f>
        <v/>
      </c>
      <c r="H36" s="7">
        <f>H34-15806717.0</f>
        <v/>
      </c>
      <c r="I36" s="7">
        <f>I34-16869453.0</f>
        <v/>
      </c>
      <c r="J36" s="7">
        <f>J34-17779909.0</f>
        <v/>
      </c>
      <c r="K36" s="7">
        <f>K34-19272159.0</f>
        <v/>
      </c>
      <c r="L36" s="7">
        <f>L34-19128672.0</f>
        <v/>
      </c>
      <c r="M36" s="7">
        <f>M34-18710174.0</f>
        <v/>
      </c>
      <c r="N36" s="7">
        <f>N34-17700247.0</f>
        <v/>
      </c>
      <c r="O36" s="7">
        <f>O34-16323180.0</f>
        <v/>
      </c>
      <c r="P36" s="7">
        <f>P34-14189447.0</f>
        <v/>
      </c>
      <c r="Q36" s="7">
        <f>Q34-11521499.0</f>
        <v/>
      </c>
    </row>
    <row r="38">
      <c r="A38" s="3" t="inlineStr">
        <is>
          <t>Drivers</t>
        </is>
      </c>
    </row>
    <row r="39">
      <c r="A39" s="6" t="inlineStr">
        <is>
          <t>Enrollment (PK-12)</t>
        </is>
      </c>
      <c r="C39" s="26" t="n">
        <v>6949</v>
      </c>
      <c r="D39" s="26" t="n">
        <v>6889</v>
      </c>
      <c r="E39" s="26" t="n">
        <v>6697</v>
      </c>
      <c r="F39" s="26" t="n">
        <v>6616</v>
      </c>
      <c r="G39" s="26" t="n">
        <v>6574</v>
      </c>
      <c r="H39" s="26" t="n">
        <v>6473</v>
      </c>
      <c r="I39" s="26" t="n">
        <v>6421</v>
      </c>
      <c r="J39" s="26" t="n">
        <v>6345</v>
      </c>
      <c r="K39" s="26" t="n">
        <v>6265</v>
      </c>
      <c r="L39" s="26" t="n">
        <v>6187</v>
      </c>
      <c r="M39" s="26" t="n">
        <v>6103</v>
      </c>
      <c r="N39" s="26" t="n">
        <v>6052</v>
      </c>
      <c r="O39" s="26" t="n">
        <v>5981</v>
      </c>
      <c r="P39" s="26" t="n">
        <v>5993</v>
      </c>
      <c r="Q39" s="26" t="n">
        <v>6002</v>
      </c>
    </row>
    <row r="40">
      <c r="A40" s="6" t="inlineStr">
        <is>
          <t>School staff (FTE)</t>
        </is>
      </c>
      <c r="C40" s="26" t="n">
        <v>1236</v>
      </c>
      <c r="D40" s="26" t="n">
        <v>1214</v>
      </c>
      <c r="E40" s="26" t="n">
        <v>1214</v>
      </c>
      <c r="F40" s="26" t="n">
        <v>1214</v>
      </c>
      <c r="G40" s="26" t="n">
        <v>1214</v>
      </c>
      <c r="H40" s="26" t="n">
        <v>1214</v>
      </c>
      <c r="I40" s="26" t="n">
        <v>1216</v>
      </c>
      <c r="J40" s="26" t="n">
        <v>1217</v>
      </c>
      <c r="K40" s="26" t="n">
        <v>1218</v>
      </c>
      <c r="L40" s="26" t="n">
        <v>1218</v>
      </c>
      <c r="M40" s="26" t="n">
        <v>1218</v>
      </c>
      <c r="N40" s="26" t="n">
        <v>1218</v>
      </c>
      <c r="O40" s="26" t="n">
        <v>1218</v>
      </c>
      <c r="P40" s="26" t="n">
        <v>1218</v>
      </c>
      <c r="Q40" s="26" t="n">
        <v>1218</v>
      </c>
    </row>
    <row r="41">
      <c r="A41" s="6" t="inlineStr">
        <is>
          <t>Town staff (FTE)</t>
        </is>
      </c>
      <c r="C41" s="26" t="n">
        <v>717</v>
      </c>
      <c r="D41" s="26" t="n">
        <v>707</v>
      </c>
      <c r="E41" s="26" t="n">
        <v>707</v>
      </c>
      <c r="F41" s="26" t="n">
        <v>707</v>
      </c>
      <c r="G41" s="26" t="n">
        <v>707</v>
      </c>
      <c r="H41" s="26" t="n">
        <v>707</v>
      </c>
      <c r="I41" s="26" t="n">
        <v>707</v>
      </c>
      <c r="J41" s="26" t="n">
        <v>707</v>
      </c>
      <c r="K41" s="26" t="n">
        <v>707</v>
      </c>
      <c r="L41" s="26" t="n">
        <v>707</v>
      </c>
      <c r="M41" s="26" t="n">
        <v>707</v>
      </c>
      <c r="N41" s="26" t="n">
        <v>707</v>
      </c>
      <c r="O41" s="26" t="n">
        <v>707</v>
      </c>
      <c r="P41" s="26" t="n">
        <v>707</v>
      </c>
      <c r="Q41" s="26" t="n">
        <v>707</v>
      </c>
    </row>
    <row r="42">
      <c r="A42" s="6" t="inlineStr">
        <is>
          <t>Homes added since FY2027</t>
        </is>
      </c>
      <c r="C42" s="26" t="n">
        <v>0</v>
      </c>
      <c r="D42" s="26" t="n">
        <v>0</v>
      </c>
      <c r="E42" s="26" t="n">
        <v>170</v>
      </c>
      <c r="F42" s="26" t="n">
        <v>341</v>
      </c>
      <c r="G42" s="26" t="n">
        <v>515</v>
      </c>
      <c r="H42" s="26" t="n">
        <v>687</v>
      </c>
      <c r="I42" s="26" t="n">
        <v>863</v>
      </c>
      <c r="J42" s="26" t="n">
        <v>1039</v>
      </c>
      <c r="K42" s="26" t="n">
        <v>1215</v>
      </c>
      <c r="L42" s="26" t="n">
        <v>1391</v>
      </c>
      <c r="M42" s="26" t="n">
        <v>1566</v>
      </c>
      <c r="N42" s="26" t="n">
        <v>1741</v>
      </c>
      <c r="O42" s="26" t="n">
        <v>1915</v>
      </c>
      <c r="P42" s="26" t="n">
        <v>2089</v>
      </c>
      <c r="Q42" s="26" t="n">
        <v>2262</v>
      </c>
    </row>
    <row r="43">
      <c r="A43" s="6" t="inlineStr">
        <is>
          <t>May 2026 override, worth that year</t>
        </is>
      </c>
      <c r="C43" s="21" t="n">
        <v>0</v>
      </c>
      <c r="D43" s="21" t="n">
        <v>9852330</v>
      </c>
      <c r="E43" s="21" t="n">
        <v>15981025</v>
      </c>
      <c r="F43" s="21" t="n">
        <v>24756683</v>
      </c>
      <c r="G43" s="21" t="n">
        <v>26021934</v>
      </c>
      <c r="H43" s="21" t="n">
        <v>27258103</v>
      </c>
      <c r="I43" s="21" t="n">
        <v>28346482</v>
      </c>
      <c r="J43" s="21" t="n">
        <v>29427716</v>
      </c>
      <c r="K43" s="21" t="n">
        <v>30548770</v>
      </c>
      <c r="L43" s="21" t="n">
        <v>31707957</v>
      </c>
      <c r="M43" s="21" t="n">
        <v>32911127</v>
      </c>
      <c r="N43" s="21" t="n">
        <v>34159858</v>
      </c>
      <c r="O43" s="21" t="n">
        <v>35456011</v>
      </c>
      <c r="P43" s="21" t="n">
        <v>36801386</v>
      </c>
      <c r="Q43" s="21" t="n">
        <v>38197859</v>
      </c>
    </row>
  </sheetData>
  <mergeCells count="2">
    <mergeCell ref="A3:Q3"/>
    <mergeCell ref="A1:W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V29"/>
  <sheetViews>
    <sheetView showGridLines="0" workbookViewId="0">
      <selection activeCell="A1" sqref="A1"/>
    </sheetView>
  </sheetViews>
  <sheetFormatPr baseColWidth="8" defaultRowHeight="15" outlineLevelCol="0"/>
  <cols>
    <col width="66" customWidth="1" min="1" max="1"/>
    <col width="18" customWidth="1" min="2" max="2"/>
    <col width="18" customWidth="1" min="3" max="3"/>
    <col width="18" customWidth="1" min="4" max="4"/>
    <col width="18" customWidth="1" min="5" max="5"/>
    <col width="18" customWidth="1" min="6" max="6"/>
  </cols>
  <sheetData>
    <row r="1" ht="26" customHeight="1">
      <c r="A1" s="1" t="inlineStr">
        <is>
          <t>What decides the 2040 budget: one assumption at a time</t>
        </is>
      </c>
    </row>
    <row r="3" ht="28" customHeight="1">
      <c r="A3" s="2" t="inlineStr">
        <is>
          <t>Each row changes one assumption from the base case and reports FY2040 spending, the FY2040 room, and the change in the room summed over FY2026-40. Cited from expense_driver_forecast_sensitivity_fy40.csv. Base-case FY2040 room: $11.5M.</t>
        </is>
      </c>
    </row>
    <row r="5">
      <c r="A5" s="16" t="inlineStr">
        <is>
          <t>Assumption changed</t>
        </is>
      </c>
      <c r="B5" s="16" t="inlineStr">
        <is>
          <t>FY2040 spending</t>
        </is>
      </c>
      <c r="C5" s="16" t="inlineStr">
        <is>
          <t>Change in spending</t>
        </is>
      </c>
      <c r="D5" s="16" t="inlineStr">
        <is>
          <t>FY2040 room</t>
        </is>
      </c>
      <c r="E5" s="16" t="inlineStr">
        <is>
          <t>Change in room</t>
        </is>
      </c>
      <c r="F5" s="16" t="inlineStr">
        <is>
          <t>Change in room, FY2026-40 total</t>
        </is>
      </c>
    </row>
    <row r="6">
      <c r="A6" t="inlineStr">
        <is>
          <t>Pay growth +1 point for every group (base: Town 3.0%, schools 3.7%, Public Safety 4.5%)</t>
        </is>
      </c>
      <c r="B6" s="21" t="n">
        <v>730888153</v>
      </c>
      <c r="C6" s="21" t="n">
        <v>46202532</v>
      </c>
      <c r="D6" s="21" t="n">
        <v>-34681033</v>
      </c>
      <c r="E6" s="21" t="n">
        <v>-46202532</v>
      </c>
      <c r="F6" s="21" t="n">
        <v>-272491456</v>
      </c>
    </row>
    <row r="7">
      <c r="A7" t="inlineStr">
        <is>
          <t>Pay growth -0.5 point for every group (Town 2.5%, schools 3.2%, Public Safety 4.0%)</t>
        </is>
      </c>
      <c r="B7" s="21" t="n">
        <v>663488696</v>
      </c>
      <c r="C7" s="21" t="n">
        <v>-21196926</v>
      </c>
      <c r="D7" s="21" t="n">
        <v>32718424</v>
      </c>
      <c r="E7" s="21" t="n">
        <v>21196926</v>
      </c>
      <c r="F7" s="21" t="n">
        <v>128287059</v>
      </c>
    </row>
    <row r="8">
      <c r="A8" t="inlineStr">
        <is>
          <t>School staff follow enrollment down, ratio held (base: staff held at the FY2027 level)</t>
        </is>
      </c>
      <c r="B8" s="21" t="n">
        <v>662589941</v>
      </c>
      <c r="C8" s="21" t="n">
        <v>-22095680</v>
      </c>
      <c r="D8" s="21" t="n">
        <v>33617179</v>
      </c>
      <c r="E8" s="21" t="n">
        <v>22095680</v>
      </c>
      <c r="F8" s="21" t="n">
        <v>161882991</v>
      </c>
    </row>
    <row r="9">
      <c r="A9" t="inlineStr">
        <is>
          <t>School staff follow enrollment and ratio moves a third back to FY2019</t>
        </is>
      </c>
      <c r="B9" s="21" t="n">
        <v>660145842</v>
      </c>
      <c r="C9" s="21" t="n">
        <v>-24539779</v>
      </c>
      <c r="D9" s="21" t="n">
        <v>36061278</v>
      </c>
      <c r="E9" s="21" t="n">
        <v>24539779</v>
      </c>
      <c r="F9" s="21" t="n">
        <v>184435153</v>
      </c>
    </row>
    <row r="10">
      <c r="A10" t="inlineStr">
        <is>
          <t>School staff fall half as fast as enrollment, the FY2019-25 pattern (base: held at FY2027)</t>
        </is>
      </c>
      <c r="B10" s="21" t="n">
        <v>668197961</v>
      </c>
      <c r="C10" s="21" t="n">
        <v>-16487660</v>
      </c>
      <c r="D10" s="21" t="n">
        <v>28009159</v>
      </c>
      <c r="E10" s="21" t="n">
        <v>16487660</v>
      </c>
      <c r="F10" s="21" t="n">
        <v>120798623</v>
      </c>
    </row>
    <row r="11">
      <c r="A11" t="inlineStr">
        <is>
          <t>Enrollment flat at FY2027 (base: NESDEC decline)</t>
        </is>
      </c>
      <c r="B11" s="21" t="n">
        <v>687828053</v>
      </c>
      <c r="C11" s="21" t="n">
        <v>3142432</v>
      </c>
      <c r="D11" s="21" t="n">
        <v>8379067</v>
      </c>
      <c r="E11" s="21" t="n">
        <v>-3142432</v>
      </c>
      <c r="F11" s="21" t="n">
        <v>-24894535</v>
      </c>
    </row>
    <row r="12">
      <c r="A12" t="inlineStr">
        <is>
          <t>Enrollment per Cropper-McKibben, the schools' forecast (base: NESDEC)</t>
        </is>
      </c>
      <c r="B12" s="21" t="n">
        <v>689620078</v>
      </c>
      <c r="C12" s="21" t="n">
        <v>4934457</v>
      </c>
      <c r="D12" s="21" t="n">
        <v>6587042</v>
      </c>
      <c r="E12" s="21" t="n">
        <v>-4934457</v>
      </c>
      <c r="F12" s="21" t="n">
        <v>-39557848</v>
      </c>
    </row>
    <row r="13">
      <c r="A13" t="inlineStr">
        <is>
          <t>Cropper-McKibben enrollment, staff follow it</t>
        </is>
      </c>
      <c r="B13" s="21" t="n">
        <v>702237128</v>
      </c>
      <c r="C13" s="21" t="n">
        <v>17551506</v>
      </c>
      <c r="D13" s="21" t="n">
        <v>-6030008</v>
      </c>
      <c r="E13" s="21" t="n">
        <v>-17551506</v>
      </c>
      <c r="F13" s="21" t="n">
        <v>-135684203</v>
      </c>
    </row>
    <row r="14">
      <c r="A14" t="inlineStr">
        <is>
          <t>School pay at PSB's forecast, about 5%/yr (base 3.7%)</t>
        </is>
      </c>
      <c r="B14" s="21" t="n">
        <v>719855878</v>
      </c>
      <c r="C14" s="21" t="n">
        <v>35170256</v>
      </c>
      <c r="D14" s="21" t="n">
        <v>-23648758</v>
      </c>
      <c r="E14" s="21" t="n">
        <v>-35170256</v>
      </c>
      <c r="F14" s="21" t="n">
        <v>-209304086</v>
      </c>
    </row>
    <row r="15">
      <c r="A15" t="inlineStr">
        <is>
          <t>School and Public Safety pay held to the 3.0% Town target (base 3.7% and 4.5%)</t>
        </is>
      </c>
      <c r="B15" s="21" t="n">
        <v>654007217</v>
      </c>
      <c r="C15" s="21" t="n">
        <v>-30678404</v>
      </c>
      <c r="D15" s="21" t="n">
        <v>42199903</v>
      </c>
      <c r="E15" s="21" t="n">
        <v>30678404</v>
      </c>
      <c r="F15" s="21" t="n">
        <v>187931654</v>
      </c>
    </row>
    <row r="16">
      <c r="A16" t="inlineStr">
        <is>
          <t>Health premiums 6.5%/yr from FY2030 (base 8%)</t>
        </is>
      </c>
      <c r="B16" s="21" t="n">
        <v>664374968</v>
      </c>
      <c r="C16" s="21" t="n">
        <v>-20310653</v>
      </c>
      <c r="D16" s="21" t="n">
        <v>31832152</v>
      </c>
      <c r="E16" s="21" t="n">
        <v>20310653</v>
      </c>
      <c r="F16" s="21" t="n">
        <v>97083222</v>
      </c>
    </row>
    <row r="17">
      <c r="A17" t="inlineStr">
        <is>
          <t>Health premiums 10%/yr from FY2030 (base 8%)</t>
        </is>
      </c>
      <c r="B17" s="21" t="n">
        <v>716541104</v>
      </c>
      <c r="C17" s="21" t="n">
        <v>31855483</v>
      </c>
      <c r="D17" s="21" t="n">
        <v>-20333984</v>
      </c>
      <c r="E17" s="21" t="n">
        <v>-31855483</v>
      </c>
      <c r="F17" s="21" t="n">
        <v>-145531963</v>
      </c>
    </row>
    <row r="18">
      <c r="A18" t="inlineStr">
        <is>
          <t>School non-personnel costs at inflation +2 points (base: inflation, 2.5%)</t>
        </is>
      </c>
      <c r="B18" s="21" t="n">
        <v>693846574</v>
      </c>
      <c r="C18" s="21" t="n">
        <v>9160953</v>
      </c>
      <c r="D18" s="21" t="n">
        <v>2360546</v>
      </c>
      <c r="E18" s="21" t="n">
        <v>-9160953</v>
      </c>
      <c r="F18" s="21" t="n">
        <v>-56959430</v>
      </c>
    </row>
    <row r="19">
      <c r="A19" t="inlineStr">
        <is>
          <t>Inflation 3.5%/yr (base 2.5%)</t>
        </is>
      </c>
      <c r="B19" s="21" t="n">
        <v>693525737</v>
      </c>
      <c r="C19" s="21" t="n">
        <v>8840115</v>
      </c>
      <c r="D19" s="21" t="n">
        <v>2681383</v>
      </c>
      <c r="E19" s="21" t="n">
        <v>-8840115</v>
      </c>
      <c r="F19" s="21" t="n">
        <v>-55597672</v>
      </c>
    </row>
    <row r="20">
      <c r="A20" t="inlineStr">
        <is>
          <t>Town cost per new home $1,109, RKG (base $660)</t>
        </is>
      </c>
      <c r="B20" s="21" t="n">
        <v>686871810</v>
      </c>
      <c r="C20" s="21" t="n">
        <v>2186189</v>
      </c>
      <c r="D20" s="21" t="n">
        <v>9335310</v>
      </c>
      <c r="E20" s="21" t="n">
        <v>-2186189</v>
      </c>
      <c r="F20" s="21" t="n">
        <v>-13853784</v>
      </c>
    </row>
    <row r="21">
      <c r="A21" t="inlineStr">
        <is>
          <t>Town cost per new home $230 (base $660)</t>
        </is>
      </c>
      <c r="B21" s="21" t="n">
        <v>682591944</v>
      </c>
      <c r="C21" s="21" t="n">
        <v>-2093678</v>
      </c>
      <c r="D21" s="21" t="n">
        <v>13615176</v>
      </c>
      <c r="E21" s="21" t="n">
        <v>2093678</v>
      </c>
      <c r="F21" s="21" t="n">
        <v>13267543</v>
      </c>
    </row>
    <row r="22">
      <c r="A22" t="inlineStr">
        <is>
          <t>New growth at the peer rate, housing-led (base: recent trend)</t>
        </is>
      </c>
      <c r="B22" s="21" t="n">
        <v>740192318</v>
      </c>
      <c r="C22" s="21" t="n">
        <v>55506696</v>
      </c>
      <c r="D22" s="21" t="n">
        <v>23963877</v>
      </c>
      <c r="E22" s="21" t="n">
        <v>12442379</v>
      </c>
      <c r="F22" s="21" t="n">
        <v>150478658</v>
      </c>
    </row>
    <row r="23">
      <c r="A23" t="inlineStr">
        <is>
          <t>New growth at the peer rate, commercial-led (base: trend)</t>
        </is>
      </c>
      <c r="B23" s="21" t="n">
        <v>693424843</v>
      </c>
      <c r="C23" s="21" t="n">
        <v>8739221</v>
      </c>
      <c r="D23" s="21" t="n">
        <v>68377802</v>
      </c>
      <c r="E23" s="21" t="n">
        <v>56856304</v>
      </c>
      <c r="F23" s="21" t="n">
        <v>400655022</v>
      </c>
    </row>
    <row r="24">
      <c r="A24" t="inlineStr">
        <is>
          <t>New growth at the peer rate, even mix (base: trend)</t>
        </is>
      </c>
      <c r="B24" s="21" t="n">
        <v>716817843</v>
      </c>
      <c r="C24" s="21" t="n">
        <v>32132222</v>
      </c>
      <c r="D24" s="21" t="n">
        <v>46161577</v>
      </c>
      <c r="E24" s="21" t="n">
        <v>34640078</v>
      </c>
      <c r="F24" s="21" t="n">
        <v>275469628</v>
      </c>
    </row>
    <row r="25">
      <c r="A25" t="inlineStr">
        <is>
          <t>Pension full funding slips 2 years (base: FY2030)</t>
        </is>
      </c>
      <c r="B25" s="21" t="n">
        <v>684685621</v>
      </c>
      <c r="C25" s="21" t="n">
        <v>0</v>
      </c>
      <c r="D25" s="21" t="n">
        <v>11521499</v>
      </c>
      <c r="E25" s="21" t="n">
        <v>0</v>
      </c>
      <c r="F25" s="21" t="n">
        <v>-3289354</v>
      </c>
    </row>
    <row r="26">
      <c r="A26" t="inlineStr">
        <is>
          <t>CHCA at City Realty average revenue (base: approved program)</t>
        </is>
      </c>
      <c r="B26" s="21" t="n">
        <v>684687019</v>
      </c>
      <c r="C26" s="21" t="n">
        <v>1397</v>
      </c>
      <c r="D26" s="21" t="n">
        <v>12750839</v>
      </c>
      <c r="E26" s="21" t="n">
        <v>1229341</v>
      </c>
      <c r="F26" s="21" t="n">
        <v>8626589</v>
      </c>
    </row>
    <row r="27">
      <c r="A27" t="inlineStr">
        <is>
          <t>CHCA at RKG's revenue estimate</t>
        </is>
      </c>
      <c r="B27" s="21" t="n">
        <v>684677791</v>
      </c>
      <c r="C27" s="21" t="n">
        <v>-7830</v>
      </c>
      <c r="D27" s="21" t="n">
        <v>9266440</v>
      </c>
      <c r="E27" s="21" t="n">
        <v>-2255059</v>
      </c>
      <c r="F27" s="21" t="n">
        <v>-15977238</v>
      </c>
    </row>
    <row r="28">
      <c r="A28" t="inlineStr">
        <is>
          <t>CHCA already inside trend growth (not additive)</t>
        </is>
      </c>
      <c r="B28" s="21" t="n">
        <v>683070443</v>
      </c>
      <c r="C28" s="21" t="n">
        <v>-1615178</v>
      </c>
      <c r="D28" s="21" t="n">
        <v>6101988</v>
      </c>
      <c r="E28" s="21" t="n">
        <v>-5419511</v>
      </c>
      <c r="F28" s="21" t="n">
        <v>-38250291</v>
      </c>
    </row>
    <row r="29">
      <c r="A29" t="inlineStr">
        <is>
          <t>Pension savings not moved to OPEB in FY2031</t>
        </is>
      </c>
      <c r="B29" s="21" t="n">
        <v>650123368</v>
      </c>
      <c r="C29" s="21" t="n">
        <v>-34562253</v>
      </c>
      <c r="D29" s="21" t="n">
        <v>46083752</v>
      </c>
      <c r="E29" s="21" t="n">
        <v>34562253</v>
      </c>
      <c r="F29" s="21" t="n">
        <v>356872530</v>
      </c>
    </row>
  </sheetData>
  <mergeCells count="2">
    <mergeCell ref="A1:V1"/>
    <mergeCell ref="A3:P3"/>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V25"/>
  <sheetViews>
    <sheetView showGridLines="0" workbookViewId="0">
      <selection activeCell="A1" sqref="A1"/>
    </sheetView>
  </sheetViews>
  <sheetFormatPr baseColWidth="8" defaultRowHeight="15" outlineLevelCol="0"/>
  <cols>
    <col width="52"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ht="26" customHeight="1">
      <c r="A1" s="1" t="inlineStr">
        <is>
          <t>The cost of growth, and when a new home covers it</t>
        </is>
      </c>
    </row>
    <row r="3" ht="28" customHeight="1">
      <c r="A3" s="2" t="inlineStr">
        <is>
          <t>The per-home and per-student costs the driver forecast, the per-project calculator and the per-home test all share (cost_assumptions.py). Tan cells are editable; the breakeven table recalculates. See reference document 3c.</t>
        </is>
      </c>
    </row>
    <row r="5">
      <c r="A5" s="3" t="inlineStr">
        <is>
          <t>Inputs</t>
        </is>
      </c>
    </row>
    <row r="6">
      <c r="A6" s="13" t="inlineStr">
        <is>
          <t>Town services per home, FY2025 $ (350-town comparison)</t>
        </is>
      </c>
      <c r="B6" s="20" t="n">
        <v>660</v>
      </c>
    </row>
    <row r="7">
      <c r="A7" s="13" t="inlineStr">
        <is>
          <t>Benefit loading on Town services (RKG $262 / $1,109)</t>
        </is>
      </c>
      <c r="B7" s="27" t="n">
        <v>0.236248872858431</v>
      </c>
    </row>
    <row r="8">
      <c r="A8" s="13" t="inlineStr">
        <is>
          <t>Town pay growth</t>
        </is>
      </c>
      <c r="B8" s="27" t="n">
        <v>0.03</v>
      </c>
    </row>
    <row r="9">
      <c r="A9" s="13" t="inlineStr">
        <is>
          <t>Residential tax rate (FY2026, per $ of value)</t>
        </is>
      </c>
      <c r="B9" s="28" t="n">
        <v>0.01024</v>
      </c>
    </row>
    <row r="10">
      <c r="A10" s="13" t="inlineStr">
        <is>
          <t>Growth of one home's tax a year (levy limit)</t>
        </is>
      </c>
      <c r="B10" s="27" t="n">
        <v>0.025</v>
      </c>
    </row>
    <row r="11">
      <c r="A11" s="13" t="inlineStr">
        <is>
          <t>Children per home (model average)</t>
        </is>
      </c>
      <c r="B11" s="29" t="n">
        <v>0.2442</v>
      </c>
    </row>
    <row r="12">
      <c r="A12" s="24" t="inlineStr">
        <is>
          <t>Cost of one added student, FY2027 (driver model)</t>
        </is>
      </c>
      <c r="B12" s="21" t="n">
        <v>16443</v>
      </c>
    </row>
    <row r="13">
      <c r="A13" s="24" t="inlineStr">
        <is>
          <t>Cost of one added student, FY2040 (driver model, nominal)</t>
        </is>
      </c>
      <c r="B13" s="21" t="n">
        <v>27706</v>
      </c>
    </row>
    <row r="15">
      <c r="A15" s="3" t="inlineStr">
        <is>
          <t>Costs per home, FY2027 and FY2040</t>
        </is>
      </c>
    </row>
    <row r="16">
      <c r="A16" t="inlineStr">
        <is>
          <t>Town services per home, FY2027</t>
        </is>
      </c>
      <c r="B16" s="7">
        <f>$B$6*(1+$B$7)*(1+$B$8)^2</f>
        <v/>
      </c>
    </row>
    <row r="17">
      <c r="A17" t="inlineStr">
        <is>
          <t>Town services per home, FY2040</t>
        </is>
      </c>
      <c r="B17" s="7">
        <f>$B$6*(1+$B$7)*(1+$B$8)^15</f>
        <v/>
      </c>
    </row>
    <row r="19">
      <c r="A19" s="3" t="inlineStr">
        <is>
          <t>When a new home covers its costs</t>
        </is>
      </c>
    </row>
    <row r="20">
      <c r="A20" s="30" t="inlineStr">
        <is>
          <t>Home</t>
        </is>
      </c>
      <c r="B20" s="30" t="inlineStr">
        <is>
          <t>Assessed value</t>
        </is>
      </c>
      <c r="C20" s="30" t="inlineStr">
        <is>
          <t>Tax, FY2027</t>
        </is>
      </c>
      <c r="D20" s="30" t="inlineStr">
        <is>
          <t>Breakeven children, FY2027</t>
        </is>
      </c>
      <c r="E20" s="30" t="inlineStr">
        <is>
          <t>Breakeven children, FY2040</t>
        </is>
      </c>
      <c r="F20" s="30" t="inlineStr">
        <is>
          <t>Net at model children, FY2027</t>
        </is>
      </c>
      <c r="G20" s="30" t="inlineStr">
        <is>
          <t>Net at model children, FY2040</t>
        </is>
      </c>
    </row>
    <row r="21">
      <c r="A21" t="inlineStr">
        <is>
          <t>Condominium (FY2025 roll average)</t>
        </is>
      </c>
      <c r="B21" s="20" t="n">
        <v>1175950</v>
      </c>
      <c r="C21" s="7">
        <f>B21*$B$9</f>
        <v/>
      </c>
      <c r="D21" s="31">
        <f>(C21-$B$16)/$B$12</f>
        <v/>
      </c>
      <c r="E21" s="31">
        <f>(C21*(1+$B$10)^13-$B$17)/$B$13</f>
        <v/>
      </c>
      <c r="F21" s="7">
        <f>C21-$B$16-$B$11*$B$12</f>
        <v/>
      </c>
      <c r="G21" s="7">
        <f>C21*(1+$B$10)^13-$B$17-$B$11*$B$13</f>
        <v/>
      </c>
    </row>
    <row r="22">
      <c r="A22" t="inlineStr">
        <is>
          <t>New home, mean of new construction</t>
        </is>
      </c>
      <c r="B22" s="20" t="n">
        <v>794300</v>
      </c>
      <c r="C22" s="7">
        <f>B22*$B$9</f>
        <v/>
      </c>
      <c r="D22" s="31">
        <f>(C22-$B$16)/$B$12</f>
        <v/>
      </c>
      <c r="E22" s="31">
        <f>(C22*(1+$B$10)^13-$B$17)/$B$13</f>
        <v/>
      </c>
      <c r="F22" s="7">
        <f>C22-$B$16-$B$11*$B$12</f>
        <v/>
      </c>
      <c r="G22" s="7">
        <f>C22*(1+$B$10)^13-$B$17-$B$11*$B$13</f>
        <v/>
      </c>
    </row>
    <row r="23">
      <c r="A23" t="inlineStr">
        <is>
          <t>Apartment, 4-8 units</t>
        </is>
      </c>
      <c r="B23" s="20" t="n">
        <v>672850</v>
      </c>
      <c r="C23" s="7">
        <f>B23*$B$9</f>
        <v/>
      </c>
      <c r="D23" s="31">
        <f>(C23-$B$16)/$B$12</f>
        <v/>
      </c>
      <c r="E23" s="31">
        <f>(C23*(1+$B$10)^13-$B$17)/$B$13</f>
        <v/>
      </c>
      <c r="F23" s="7">
        <f>C23-$B$16-$B$11*$B$12</f>
        <v/>
      </c>
      <c r="G23" s="7">
        <f>C23*(1+$B$10)^13-$B$17-$B$11*$B$13</f>
        <v/>
      </c>
    </row>
    <row r="24">
      <c r="A24" t="inlineStr">
        <is>
          <t>Apartment, 9+ units</t>
        </is>
      </c>
      <c r="B24" s="20" t="n">
        <v>434283</v>
      </c>
      <c r="C24" s="7">
        <f>B24*$B$9</f>
        <v/>
      </c>
      <c r="D24" s="31">
        <f>(C24-$B$16)/$B$12</f>
        <v/>
      </c>
      <c r="E24" s="31">
        <f>(C24*(1+$B$10)^13-$B$17)/$B$13</f>
        <v/>
      </c>
      <c r="F24" s="7">
        <f>C24-$B$16-$B$11*$B$12</f>
        <v/>
      </c>
      <c r="G24" s="7">
        <f>C24*(1+$B$10)^13-$B$17-$B$11*$B$13</f>
        <v/>
      </c>
    </row>
    <row r="25">
      <c r="A25" t="inlineStr">
        <is>
          <t>New home, units-weighted (growth model)</t>
        </is>
      </c>
      <c r="B25" s="20" t="n">
        <v>430000</v>
      </c>
      <c r="C25" s="7">
        <f>B25*$B$9</f>
        <v/>
      </c>
      <c r="D25" s="31">
        <f>(C25-$B$16)/$B$12</f>
        <v/>
      </c>
      <c r="E25" s="31">
        <f>(C25*(1+$B$10)^13-$B$17)/$B$13</f>
        <v/>
      </c>
      <c r="F25" s="7">
        <f>C25-$B$16-$B$11*$B$12</f>
        <v/>
      </c>
      <c r="G25" s="7">
        <f>C25*(1+$B$10)^13-$B$17-$B$11*$B$13</f>
        <v/>
      </c>
    </row>
  </sheetData>
  <mergeCells count="2">
    <mergeCell ref="A1:V1"/>
    <mergeCell ref="A3:P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2026-10-06T00:20:26Z</dcterms:created>
  <dcterms:modified xmlns:dcterms="http://purl.org/dc/terms/" xmlns:xsi="http://www.w3.org/2001/XMLSchema-instance" xsi:type="dcterms:W3CDTF">2026-10-06T00:21:17Z</dcterms:modified>
</cp:coreProperties>
</file>